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umenti martina\Canoni Concordati-Accordi\"/>
    </mc:Choice>
  </mc:AlternateContent>
  <bookViews>
    <workbookView xWindow="0" yWindow="0" windowWidth="24000" windowHeight="9885"/>
  </bookViews>
  <sheets>
    <sheet name="Immissione Dati" sheetId="2" r:id="rId1"/>
    <sheet name="Calcolatore Metri" sheetId="3" r:id="rId2"/>
    <sheet name="Calcolatore Coefficienti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0" i="2" l="1"/>
  <c r="BL67" i="2" l="1"/>
  <c r="BM67" i="2"/>
  <c r="BL68" i="2"/>
  <c r="BM68" i="2"/>
  <c r="BL69" i="2"/>
  <c r="BN69" i="2" s="1"/>
  <c r="BL70" i="2"/>
  <c r="BO70" i="2" s="1"/>
  <c r="BN70" i="2"/>
  <c r="BL71" i="2"/>
  <c r="BO71" i="2" s="1"/>
  <c r="BN71" i="2"/>
  <c r="BL72" i="2"/>
  <c r="BN72" i="2" s="1"/>
  <c r="BO72" i="2" l="1"/>
  <c r="BN68" i="2"/>
  <c r="BN67" i="2"/>
  <c r="BO68" i="2"/>
  <c r="BO67" i="2"/>
  <c r="BO69" i="2"/>
  <c r="BS12" i="2"/>
  <c r="BN74" i="2" l="1"/>
  <c r="BO74" i="2"/>
  <c r="T124" i="2"/>
  <c r="T123" i="2"/>
  <c r="AU57" i="2" l="1"/>
  <c r="AS57" i="2"/>
  <c r="BC26" i="2" l="1"/>
  <c r="BC25" i="2"/>
  <c r="BC24" i="2"/>
  <c r="BC23" i="2"/>
  <c r="BC22" i="2"/>
  <c r="AS61" i="2"/>
  <c r="AS62" i="2"/>
  <c r="AS63" i="2"/>
  <c r="AS64" i="2"/>
  <c r="AS65" i="2"/>
  <c r="AS60" i="2"/>
  <c r="BB20" i="2"/>
  <c r="D10" i="3" l="1"/>
  <c r="D9" i="3"/>
  <c r="D8" i="3"/>
  <c r="D7" i="3"/>
  <c r="B6" i="3"/>
  <c r="D6" i="3" s="1"/>
  <c r="BB29" i="2" l="1"/>
  <c r="BB28" i="2"/>
  <c r="AJ111" i="2" l="1"/>
  <c r="AJ108" i="2"/>
  <c r="AJ105" i="2"/>
  <c r="AJ102" i="2"/>
  <c r="AJ99" i="2"/>
  <c r="AJ91" i="2"/>
  <c r="N9" i="3"/>
  <c r="N8" i="3"/>
  <c r="N3" i="3"/>
  <c r="N4" i="3"/>
  <c r="N5" i="3"/>
  <c r="N6" i="3"/>
  <c r="N2" i="3"/>
  <c r="B4" i="3" l="1"/>
  <c r="B15" i="3" s="1"/>
  <c r="B16" i="3" s="1"/>
  <c r="E16" i="3"/>
  <c r="B10" i="3"/>
  <c r="AO37" i="2" s="1"/>
  <c r="AO111" i="2" s="1"/>
  <c r="B9" i="3"/>
  <c r="AO34" i="2" s="1"/>
  <c r="AO108" i="2" s="1"/>
  <c r="B8" i="3"/>
  <c r="AO31" i="2" s="1"/>
  <c r="AO105" i="2" s="1"/>
  <c r="B7" i="3"/>
  <c r="AO28" i="2" s="1"/>
  <c r="AO102" i="2" s="1"/>
  <c r="AO25" i="2"/>
  <c r="AO99" i="2" s="1"/>
  <c r="B17" i="3" l="1"/>
  <c r="F17" i="3" s="1"/>
  <c r="G17" i="3" s="1"/>
  <c r="B18" i="3"/>
  <c r="F18" i="3" s="1"/>
  <c r="G18" i="3" s="1"/>
  <c r="F16" i="3"/>
  <c r="G16" i="3" s="1"/>
  <c r="AO127" i="2"/>
  <c r="T122" i="2"/>
  <c r="T121" i="2"/>
  <c r="T120" i="2"/>
  <c r="T119" i="2"/>
  <c r="T118" i="2"/>
  <c r="T115" i="2"/>
  <c r="T114" i="2"/>
  <c r="T111" i="2"/>
  <c r="T110" i="2"/>
  <c r="T109" i="2"/>
  <c r="T108" i="2"/>
  <c r="T107" i="2"/>
  <c r="T106" i="2"/>
  <c r="T105" i="2"/>
  <c r="T102" i="2"/>
  <c r="T101" i="2"/>
  <c r="T100" i="2"/>
  <c r="T99" i="2"/>
  <c r="T98" i="2"/>
  <c r="T95" i="2"/>
  <c r="T94" i="2"/>
  <c r="T93" i="2"/>
  <c r="AB94" i="2"/>
  <c r="T90" i="2"/>
  <c r="BI89" i="2"/>
  <c r="BQ113" i="2" s="1"/>
  <c r="T89" i="2"/>
  <c r="T88" i="2"/>
  <c r="BC70" i="2"/>
  <c r="BD57" i="2"/>
  <c r="AV56" i="2"/>
  <c r="AU56" i="2"/>
  <c r="AT56" i="2"/>
  <c r="AS56" i="2"/>
  <c r="BK54" i="2"/>
  <c r="BD54" i="2"/>
  <c r="BC91" i="2" s="1"/>
  <c r="BD91" i="2" s="1"/>
  <c r="BK53" i="2"/>
  <c r="BD53" i="2"/>
  <c r="BC90" i="2" s="1"/>
  <c r="BD90" i="2" s="1"/>
  <c r="BK52" i="2"/>
  <c r="BD52" i="2"/>
  <c r="BK49" i="2"/>
  <c r="BK48" i="2"/>
  <c r="AW48" i="2"/>
  <c r="BK47" i="2"/>
  <c r="AW47" i="2"/>
  <c r="AW46" i="2"/>
  <c r="AW45" i="2"/>
  <c r="AW44" i="2"/>
  <c r="BC43" i="2"/>
  <c r="W44" i="2" s="1"/>
  <c r="AW43" i="2"/>
  <c r="AW42" i="2"/>
  <c r="AW41" i="2"/>
  <c r="BO40" i="2"/>
  <c r="BK51" i="2" s="1"/>
  <c r="BL40" i="2"/>
  <c r="AW40" i="2"/>
  <c r="BO39" i="2"/>
  <c r="BK50" i="2" s="1"/>
  <c r="BL39" i="2"/>
  <c r="BC39" i="2"/>
  <c r="AW39" i="2"/>
  <c r="BC38" i="2"/>
  <c r="AW38" i="2"/>
  <c r="AW37" i="2"/>
  <c r="AW36" i="2"/>
  <c r="AW35" i="2"/>
  <c r="AW34" i="2"/>
  <c r="AW33" i="2"/>
  <c r="AW32" i="2"/>
  <c r="AW31" i="2"/>
  <c r="BC30" i="2"/>
  <c r="W31" i="2" s="1"/>
  <c r="AW30" i="2"/>
  <c r="AW29" i="2"/>
  <c r="AW28" i="2"/>
  <c r="BB27" i="2"/>
  <c r="AW27" i="2"/>
  <c r="BB26" i="2"/>
  <c r="AW26" i="2"/>
  <c r="BB25" i="2"/>
  <c r="AW25" i="2"/>
  <c r="AW24" i="2"/>
  <c r="BB23" i="2"/>
  <c r="AW23" i="2"/>
  <c r="BB22" i="2"/>
  <c r="AW22" i="2"/>
  <c r="BB21" i="2"/>
  <c r="AW21" i="2"/>
  <c r="AW20" i="2"/>
  <c r="AB20" i="2"/>
  <c r="AW19" i="2"/>
  <c r="AW18" i="2"/>
  <c r="AW17" i="2"/>
  <c r="W17" i="2"/>
  <c r="W93" i="2" s="1"/>
  <c r="AW16" i="2"/>
  <c r="AW15" i="2"/>
  <c r="AW14" i="2"/>
  <c r="AW13" i="2"/>
  <c r="AW12" i="2"/>
  <c r="W12" i="2"/>
  <c r="W88" i="2" s="1"/>
  <c r="AW11" i="2"/>
  <c r="C137" i="2"/>
  <c r="AF146" i="2" s="1"/>
  <c r="AW10" i="2"/>
  <c r="BN9" i="2"/>
  <c r="BL9" i="2"/>
  <c r="BI8" i="2"/>
  <c r="BH8" i="2"/>
  <c r="J14" i="3" l="1"/>
  <c r="L143" i="2"/>
  <c r="N15" i="3"/>
  <c r="N17" i="3" s="1"/>
  <c r="L15" i="3"/>
  <c r="L17" i="3" s="1"/>
  <c r="M15" i="3"/>
  <c r="M17" i="3" s="1"/>
  <c r="O15" i="3"/>
  <c r="O17" i="3" s="1"/>
  <c r="P15" i="3"/>
  <c r="P17" i="3" s="1"/>
  <c r="G20" i="3"/>
  <c r="D4" i="3" s="1"/>
  <c r="H7" i="3" s="1"/>
  <c r="BU12" i="2"/>
  <c r="J1" i="1"/>
  <c r="BW14" i="2"/>
  <c r="K1" i="1"/>
  <c r="BW67" i="2"/>
  <c r="BW59" i="2"/>
  <c r="BW51" i="2"/>
  <c r="BW43" i="2"/>
  <c r="BW35" i="2"/>
  <c r="BW27" i="2"/>
  <c r="BW19" i="2"/>
  <c r="BQ119" i="2"/>
  <c r="BU65" i="2"/>
  <c r="BU57" i="2"/>
  <c r="BU49" i="2"/>
  <c r="BU41" i="2"/>
  <c r="BU33" i="2"/>
  <c r="BU25" i="2"/>
  <c r="BU17" i="2"/>
  <c r="BW63" i="2"/>
  <c r="BW55" i="2"/>
  <c r="BW47" i="2"/>
  <c r="BW39" i="2"/>
  <c r="BW31" i="2"/>
  <c r="BW23" i="2"/>
  <c r="BW15" i="2"/>
  <c r="BU69" i="2"/>
  <c r="BU61" i="2"/>
  <c r="BU53" i="2"/>
  <c r="BU45" i="2"/>
  <c r="BU37" i="2"/>
  <c r="BU29" i="2"/>
  <c r="BU21" i="2"/>
  <c r="BU13" i="2"/>
  <c r="BW68" i="2"/>
  <c r="BU66" i="2"/>
  <c r="BW64" i="2"/>
  <c r="BU62" i="2"/>
  <c r="BW60" i="2"/>
  <c r="BU58" i="2"/>
  <c r="BW56" i="2"/>
  <c r="BU54" i="2"/>
  <c r="BW52" i="2"/>
  <c r="BU50" i="2"/>
  <c r="BW48" i="2"/>
  <c r="BU46" i="2"/>
  <c r="BW44" i="2"/>
  <c r="BU42" i="2"/>
  <c r="BW40" i="2"/>
  <c r="BU38" i="2"/>
  <c r="BW36" i="2"/>
  <c r="BU34" i="2"/>
  <c r="BW32" i="2"/>
  <c r="BU30" i="2"/>
  <c r="BW28" i="2"/>
  <c r="BU26" i="2"/>
  <c r="BW24" i="2"/>
  <c r="BU22" i="2"/>
  <c r="BW20" i="2"/>
  <c r="BU18" i="2"/>
  <c r="BW16" i="2"/>
  <c r="BU14" i="2"/>
  <c r="BW12" i="2"/>
  <c r="BW69" i="2"/>
  <c r="BU67" i="2"/>
  <c r="BW65" i="2"/>
  <c r="BU63" i="2"/>
  <c r="BW61" i="2"/>
  <c r="BU59" i="2"/>
  <c r="BW57" i="2"/>
  <c r="BU55" i="2"/>
  <c r="BW53" i="2"/>
  <c r="BU51" i="2"/>
  <c r="BW49" i="2"/>
  <c r="BU47" i="2"/>
  <c r="BW45" i="2"/>
  <c r="BU43" i="2"/>
  <c r="BW41" i="2"/>
  <c r="BU39" i="2"/>
  <c r="BW37" i="2"/>
  <c r="BU35" i="2"/>
  <c r="BW33" i="2"/>
  <c r="BU31" i="2"/>
  <c r="BW29" i="2"/>
  <c r="BU27" i="2"/>
  <c r="BW25" i="2"/>
  <c r="BU23" i="2"/>
  <c r="BW21" i="2"/>
  <c r="BU19" i="2"/>
  <c r="BW17" i="2"/>
  <c r="BU15" i="2"/>
  <c r="BW13" i="2"/>
  <c r="BJ8" i="2"/>
  <c r="BU68" i="2"/>
  <c r="BW66" i="2"/>
  <c r="BU64" i="2"/>
  <c r="BW62" i="2"/>
  <c r="BU60" i="2"/>
  <c r="BW58" i="2"/>
  <c r="BU56" i="2"/>
  <c r="BW54" i="2"/>
  <c r="BU52" i="2"/>
  <c r="BW50" i="2"/>
  <c r="BU48" i="2"/>
  <c r="BW46" i="2"/>
  <c r="BU44" i="2"/>
  <c r="BW42" i="2"/>
  <c r="BU40" i="2"/>
  <c r="BW38" i="2"/>
  <c r="BU36" i="2"/>
  <c r="BW34" i="2"/>
  <c r="BU32" i="2"/>
  <c r="BW30" i="2"/>
  <c r="BU28" i="2"/>
  <c r="BW26" i="2"/>
  <c r="BU24" i="2"/>
  <c r="BW22" i="2"/>
  <c r="BU20" i="2"/>
  <c r="BW18" i="2"/>
  <c r="BU16" i="2"/>
  <c r="BB14" i="2"/>
  <c r="BF18" i="2"/>
  <c r="BQ108" i="2"/>
  <c r="BB10" i="2"/>
  <c r="BQ104" i="2"/>
  <c r="BQ111" i="2"/>
  <c r="BQ98" i="2"/>
  <c r="BQ112" i="2"/>
  <c r="AY11" i="2"/>
  <c r="BB31" i="2"/>
  <c r="BF24" i="2" s="1"/>
  <c r="W38" i="2"/>
  <c r="W107" i="2"/>
  <c r="BF31" i="2"/>
  <c r="BF13" i="2"/>
  <c r="BC89" i="2"/>
  <c r="BD55" i="2"/>
  <c r="AJ56" i="2"/>
  <c r="B131" i="2"/>
  <c r="AJ59" i="2"/>
  <c r="W120" i="2"/>
  <c r="BF44" i="2"/>
  <c r="AW56" i="2"/>
  <c r="BQ123" i="2"/>
  <c r="BQ118" i="2"/>
  <c r="BQ115" i="2"/>
  <c r="BQ105" i="2"/>
  <c r="BQ101" i="2"/>
  <c r="BQ126" i="2"/>
  <c r="BQ125" i="2"/>
  <c r="BQ117" i="2"/>
  <c r="BQ116" i="2"/>
  <c r="BQ114" i="2"/>
  <c r="BQ109" i="2"/>
  <c r="BQ107" i="2"/>
  <c r="BQ103" i="2"/>
  <c r="BQ102" i="2"/>
  <c r="BQ100" i="2"/>
  <c r="BQ120" i="2"/>
  <c r="BQ122" i="2"/>
  <c r="BQ124" i="2"/>
  <c r="BQ95" i="2"/>
  <c r="BQ110" i="2"/>
  <c r="BQ121" i="2"/>
  <c r="BQ96" i="2"/>
  <c r="BQ97" i="2"/>
  <c r="BQ99" i="2"/>
  <c r="BQ106" i="2"/>
  <c r="J17" i="3" l="1"/>
  <c r="B144" i="2" s="1"/>
  <c r="Y13" i="1"/>
  <c r="W1" i="1"/>
  <c r="X12" i="1" s="1"/>
  <c r="W12" i="1" s="1"/>
  <c r="AJ22" i="2"/>
  <c r="AJ96" i="2" s="1"/>
  <c r="AR14" i="2"/>
  <c r="BE22" i="2"/>
  <c r="W114" i="2"/>
  <c r="BF37" i="2"/>
  <c r="BF38" i="2"/>
  <c r="BF25" i="2"/>
  <c r="BF26" i="2"/>
  <c r="BD56" i="2"/>
  <c r="BC92" i="2" s="1"/>
  <c r="BD92" i="2" s="1"/>
  <c r="W59" i="2"/>
  <c r="W58" i="2"/>
  <c r="BD89" i="2"/>
  <c r="BH61" i="2"/>
  <c r="BH59" i="2"/>
  <c r="W74" i="2" s="1"/>
  <c r="K152" i="2" s="1"/>
  <c r="X13" i="1" l="1"/>
  <c r="W13" i="1" s="1"/>
  <c r="M6" i="3"/>
  <c r="O6" i="3" s="1"/>
  <c r="M8" i="3"/>
  <c r="O8" i="3" s="1"/>
  <c r="M4" i="3"/>
  <c r="O4" i="3" s="1"/>
  <c r="M2" i="3"/>
  <c r="O2" i="3" s="1"/>
  <c r="M5" i="3"/>
  <c r="O5" i="3" s="1"/>
  <c r="M3" i="3"/>
  <c r="O3" i="3" s="1"/>
  <c r="M9" i="3"/>
  <c r="O9" i="3" s="1"/>
  <c r="M7" i="3"/>
  <c r="O7" i="3" s="1"/>
  <c r="AJ42" i="2"/>
  <c r="BJ43" i="2" s="1"/>
  <c r="BD22" i="2"/>
  <c r="BF22" i="2"/>
  <c r="L128" i="2"/>
  <c r="W23" i="2"/>
  <c r="W99" i="2" s="1"/>
  <c r="BE23" i="2"/>
  <c r="BF23" i="2"/>
  <c r="BE55" i="2"/>
  <c r="BF55" i="2" s="1"/>
  <c r="W52" i="2" s="1"/>
  <c r="W127" i="2" s="1"/>
  <c r="P9" i="3" l="1"/>
  <c r="T9" i="3"/>
  <c r="S9" i="3"/>
  <c r="P4" i="3"/>
  <c r="T4" i="3"/>
  <c r="S4" i="3"/>
  <c r="P3" i="3"/>
  <c r="T3" i="3"/>
  <c r="S3" i="3"/>
  <c r="P8" i="3"/>
  <c r="T8" i="3"/>
  <c r="S8" i="3"/>
  <c r="P5" i="3"/>
  <c r="T5" i="3"/>
  <c r="S5" i="3"/>
  <c r="P6" i="3"/>
  <c r="T6" i="3"/>
  <c r="S6" i="3"/>
  <c r="P7" i="3"/>
  <c r="T7" i="3"/>
  <c r="S7" i="3"/>
  <c r="P2" i="3"/>
  <c r="T2" i="3"/>
  <c r="S2" i="3"/>
  <c r="BI38" i="2"/>
  <c r="BI40" i="2"/>
  <c r="BJ40" i="2"/>
  <c r="BJ38" i="2"/>
  <c r="BI41" i="2"/>
  <c r="BJ36" i="2"/>
  <c r="BJ37" i="2"/>
  <c r="AJ116" i="2"/>
  <c r="BI37" i="2"/>
  <c r="BI42" i="2"/>
  <c r="BI36" i="2"/>
  <c r="BI39" i="2"/>
  <c r="BJ39" i="2"/>
  <c r="BJ41" i="2"/>
  <c r="BI92" i="2"/>
  <c r="BP120" i="2" s="1"/>
  <c r="BT120" i="2" s="1"/>
  <c r="BI43" i="2"/>
  <c r="BK43" i="2" s="1"/>
  <c r="BM43" i="2" s="1"/>
  <c r="BN43" i="2" s="1"/>
  <c r="BJ42" i="2"/>
  <c r="BD61" i="2"/>
  <c r="BD62" i="2"/>
  <c r="BD63" i="2"/>
  <c r="S11" i="3" l="1"/>
  <c r="AB45" i="2" s="1"/>
  <c r="P11" i="3"/>
  <c r="AJ48" i="2" s="1"/>
  <c r="T11" i="3"/>
  <c r="AB46" i="2" s="1"/>
  <c r="BK36" i="2"/>
  <c r="BM36" i="2" s="1"/>
  <c r="BN36" i="2" s="1"/>
  <c r="BK40" i="2"/>
  <c r="BM40" i="2" s="1"/>
  <c r="BN40" i="2" s="1"/>
  <c r="BI54" i="2"/>
  <c r="BJ54" i="2" s="1"/>
  <c r="BK123" i="2"/>
  <c r="BM123" i="2" s="1"/>
  <c r="BO123" i="2" s="1"/>
  <c r="BP113" i="2"/>
  <c r="BS113" i="2" s="1"/>
  <c r="BK126" i="2"/>
  <c r="BM126" i="2" s="1"/>
  <c r="BO126" i="2" s="1"/>
  <c r="BK38" i="2"/>
  <c r="BM38" i="2" s="1"/>
  <c r="BN38" i="2" s="1"/>
  <c r="BK125" i="2"/>
  <c r="BM125" i="2" s="1"/>
  <c r="BO125" i="2" s="1"/>
  <c r="BP126" i="2"/>
  <c r="BS126" i="2" s="1"/>
  <c r="BP125" i="2"/>
  <c r="BS125" i="2" s="1"/>
  <c r="BP103" i="2"/>
  <c r="BT103" i="2" s="1"/>
  <c r="BP102" i="2"/>
  <c r="BS102" i="2" s="1"/>
  <c r="BK103" i="2"/>
  <c r="BM103" i="2" s="1"/>
  <c r="BO103" i="2" s="1"/>
  <c r="BK110" i="2"/>
  <c r="BM110" i="2" s="1"/>
  <c r="BO110" i="2" s="1"/>
  <c r="BK118" i="2"/>
  <c r="BM118" i="2" s="1"/>
  <c r="BO118" i="2" s="1"/>
  <c r="BP96" i="2"/>
  <c r="BS96" i="2" s="1"/>
  <c r="BK41" i="2"/>
  <c r="BM41" i="2" s="1"/>
  <c r="BI52" i="2" s="1"/>
  <c r="BJ52" i="2" s="1"/>
  <c r="BP119" i="2"/>
  <c r="BS119" i="2" s="1"/>
  <c r="BK42" i="2"/>
  <c r="BM42" i="2" s="1"/>
  <c r="BN42" i="2" s="1"/>
  <c r="BK37" i="2"/>
  <c r="BM37" i="2" s="1"/>
  <c r="BN37" i="2" s="1"/>
  <c r="BK98" i="2"/>
  <c r="BM98" i="2" s="1"/>
  <c r="BO98" i="2" s="1"/>
  <c r="BP98" i="2"/>
  <c r="BS98" i="2" s="1"/>
  <c r="BP123" i="2"/>
  <c r="BT123" i="2" s="1"/>
  <c r="BK117" i="2"/>
  <c r="BM117" i="2" s="1"/>
  <c r="BO117" i="2" s="1"/>
  <c r="BP110" i="2"/>
  <c r="BK116" i="2"/>
  <c r="BM116" i="2" s="1"/>
  <c r="BO116" i="2" s="1"/>
  <c r="BK106" i="2"/>
  <c r="BM106" i="2" s="1"/>
  <c r="BO106" i="2" s="1"/>
  <c r="BP108" i="2"/>
  <c r="BS108" i="2" s="1"/>
  <c r="BP99" i="2"/>
  <c r="BT99" i="2" s="1"/>
  <c r="BP122" i="2"/>
  <c r="BS122" i="2" s="1"/>
  <c r="BP106" i="2"/>
  <c r="BS120" i="2"/>
  <c r="BK122" i="2"/>
  <c r="BM122" i="2" s="1"/>
  <c r="BO122" i="2" s="1"/>
  <c r="BP107" i="2"/>
  <c r="BS107" i="2" s="1"/>
  <c r="BK120" i="2"/>
  <c r="BM120" i="2" s="1"/>
  <c r="BO120" i="2" s="1"/>
  <c r="BR120" i="2" s="1"/>
  <c r="BK121" i="2"/>
  <c r="BM121" i="2" s="1"/>
  <c r="BO121" i="2" s="1"/>
  <c r="BP116" i="2"/>
  <c r="BT116" i="2" s="1"/>
  <c r="BK115" i="2"/>
  <c r="BM115" i="2" s="1"/>
  <c r="BO115" i="2" s="1"/>
  <c r="BK95" i="2"/>
  <c r="BM95" i="2" s="1"/>
  <c r="BO95" i="2" s="1"/>
  <c r="BK105" i="2"/>
  <c r="BM105" i="2" s="1"/>
  <c r="BO105" i="2" s="1"/>
  <c r="BK111" i="2"/>
  <c r="BM111" i="2" s="1"/>
  <c r="BO111" i="2" s="1"/>
  <c r="BP97" i="2"/>
  <c r="BT97" i="2" s="1"/>
  <c r="BK97" i="2"/>
  <c r="BM97" i="2" s="1"/>
  <c r="BO97" i="2" s="1"/>
  <c r="BP105" i="2"/>
  <c r="BS105" i="2" s="1"/>
  <c r="BP115" i="2"/>
  <c r="BT115" i="2" s="1"/>
  <c r="BK100" i="2"/>
  <c r="BM100" i="2" s="1"/>
  <c r="BO100" i="2" s="1"/>
  <c r="BK99" i="2"/>
  <c r="BM99" i="2" s="1"/>
  <c r="BO99" i="2" s="1"/>
  <c r="BK124" i="2"/>
  <c r="BM124" i="2" s="1"/>
  <c r="BO124" i="2" s="1"/>
  <c r="BK39" i="2"/>
  <c r="BM39" i="2" s="1"/>
  <c r="BP112" i="2"/>
  <c r="BS112" i="2" s="1"/>
  <c r="BK109" i="2"/>
  <c r="BM109" i="2" s="1"/>
  <c r="BO109" i="2" s="1"/>
  <c r="BK119" i="2"/>
  <c r="BM119" i="2" s="1"/>
  <c r="BO119" i="2" s="1"/>
  <c r="BK96" i="2"/>
  <c r="BM96" i="2" s="1"/>
  <c r="BO96" i="2" s="1"/>
  <c r="BP111" i="2"/>
  <c r="BS111" i="2" s="1"/>
  <c r="BK107" i="2"/>
  <c r="BM107" i="2" s="1"/>
  <c r="BO107" i="2" s="1"/>
  <c r="BK113" i="2"/>
  <c r="BM113" i="2" s="1"/>
  <c r="BO113" i="2" s="1"/>
  <c r="BP95" i="2"/>
  <c r="BS95" i="2" s="1"/>
  <c r="BP104" i="2"/>
  <c r="BS104" i="2" s="1"/>
  <c r="BK102" i="2"/>
  <c r="BM102" i="2" s="1"/>
  <c r="BO102" i="2" s="1"/>
  <c r="BK108" i="2"/>
  <c r="BM108" i="2" s="1"/>
  <c r="BO108" i="2" s="1"/>
  <c r="BR108" i="2" s="1"/>
  <c r="BP109" i="2"/>
  <c r="BS109" i="2" s="1"/>
  <c r="BK101" i="2"/>
  <c r="BM101" i="2" s="1"/>
  <c r="BO101" i="2" s="1"/>
  <c r="BP101" i="2"/>
  <c r="BS101" i="2" s="1"/>
  <c r="BK104" i="2"/>
  <c r="BM104" i="2" s="1"/>
  <c r="BO104" i="2" s="1"/>
  <c r="BP124" i="2"/>
  <c r="BT124" i="2" s="1"/>
  <c r="BP118" i="2"/>
  <c r="BS118" i="2" s="1"/>
  <c r="BP114" i="2"/>
  <c r="BT114" i="2" s="1"/>
  <c r="BK114" i="2"/>
  <c r="BM114" i="2" s="1"/>
  <c r="BO114" i="2" s="1"/>
  <c r="BP117" i="2"/>
  <c r="BT117" i="2" s="1"/>
  <c r="BP100" i="2"/>
  <c r="BS100" i="2" s="1"/>
  <c r="BK112" i="2"/>
  <c r="BM112" i="2" s="1"/>
  <c r="BO112" i="2" s="1"/>
  <c r="BP121" i="2"/>
  <c r="BT121" i="2" s="1"/>
  <c r="BD64" i="2"/>
  <c r="BI51" i="2" l="1"/>
  <c r="BJ51" i="2" s="1"/>
  <c r="BI47" i="2"/>
  <c r="BJ47" i="2" s="1"/>
  <c r="AJ62" i="2"/>
  <c r="AJ125" i="2" s="1"/>
  <c r="M1" i="1"/>
  <c r="BR103" i="2"/>
  <c r="BT126" i="2"/>
  <c r="BI53" i="2"/>
  <c r="BJ53" i="2" s="1"/>
  <c r="BR113" i="2"/>
  <c r="BR119" i="2"/>
  <c r="BS103" i="2"/>
  <c r="BI49" i="2"/>
  <c r="BJ49" i="2" s="1"/>
  <c r="BS123" i="2"/>
  <c r="BT113" i="2"/>
  <c r="BT102" i="2"/>
  <c r="BT96" i="2"/>
  <c r="BT98" i="2"/>
  <c r="BR122" i="2"/>
  <c r="BR96" i="2"/>
  <c r="BT125" i="2"/>
  <c r="BT105" i="2"/>
  <c r="BR102" i="2"/>
  <c r="BN41" i="2"/>
  <c r="BT108" i="2"/>
  <c r="BR125" i="2"/>
  <c r="BR111" i="2"/>
  <c r="BT100" i="2"/>
  <c r="BR121" i="2"/>
  <c r="BT111" i="2"/>
  <c r="BR98" i="2"/>
  <c r="BR110" i="2"/>
  <c r="BT122" i="2"/>
  <c r="BR104" i="2"/>
  <c r="BT118" i="2"/>
  <c r="BT104" i="2"/>
  <c r="BT119" i="2"/>
  <c r="BT110" i="2"/>
  <c r="BR126" i="2"/>
  <c r="BR124" i="2"/>
  <c r="BR100" i="2"/>
  <c r="BR115" i="2"/>
  <c r="BT107" i="2"/>
  <c r="BT112" i="2"/>
  <c r="BS97" i="2"/>
  <c r="BI48" i="2"/>
  <c r="BJ48" i="2" s="1"/>
  <c r="BS110" i="2"/>
  <c r="BR118" i="2"/>
  <c r="BS121" i="2"/>
  <c r="BR112" i="2"/>
  <c r="BR107" i="2"/>
  <c r="BR99" i="2"/>
  <c r="BR97" i="2"/>
  <c r="BR95" i="2"/>
  <c r="BS124" i="2"/>
  <c r="BS116" i="2"/>
  <c r="BR123" i="2"/>
  <c r="BR109" i="2"/>
  <c r="BT106" i="2"/>
  <c r="BS106" i="2"/>
  <c r="BU103" i="2" s="1"/>
  <c r="BR106" i="2"/>
  <c r="BT109" i="2"/>
  <c r="BR116" i="2"/>
  <c r="BS99" i="2"/>
  <c r="BS114" i="2"/>
  <c r="BR101" i="2"/>
  <c r="BN39" i="2"/>
  <c r="BI50" i="2"/>
  <c r="BJ50" i="2" s="1"/>
  <c r="BT101" i="2"/>
  <c r="BR114" i="2"/>
  <c r="BT95" i="2"/>
  <c r="BR117" i="2"/>
  <c r="BS117" i="2"/>
  <c r="BS115" i="2"/>
  <c r="BR105" i="2"/>
  <c r="BM9" i="2"/>
  <c r="BV13" i="2" s="1"/>
  <c r="BX13" i="2" s="1"/>
  <c r="BV121" i="2" l="1"/>
  <c r="BV32" i="2"/>
  <c r="BX32" i="2" s="1"/>
  <c r="BY32" i="2" s="1"/>
  <c r="BV51" i="2"/>
  <c r="BX51" i="2" s="1"/>
  <c r="BY51" i="2" s="1"/>
  <c r="BI45" i="2"/>
  <c r="BV115" i="2"/>
  <c r="BV103" i="2"/>
  <c r="BV109" i="2"/>
  <c r="BU95" i="2"/>
  <c r="BU115" i="2"/>
  <c r="BU121" i="2"/>
  <c r="BU109" i="2"/>
  <c r="BH45" i="2"/>
  <c r="BJ92" i="2"/>
  <c r="BO9" i="2" s="1"/>
  <c r="BV95" i="2"/>
  <c r="BV15" i="2"/>
  <c r="BX15" i="2" s="1"/>
  <c r="BY15" i="2" s="1"/>
  <c r="BV14" i="2"/>
  <c r="BX14" i="2" s="1"/>
  <c r="CC14" i="2" s="1"/>
  <c r="BV69" i="2"/>
  <c r="BX69" i="2" s="1"/>
  <c r="BZ69" i="2" s="1"/>
  <c r="BV22" i="2"/>
  <c r="BX22" i="2" s="1"/>
  <c r="BZ22" i="2" s="1"/>
  <c r="BV55" i="2"/>
  <c r="BX55" i="2" s="1"/>
  <c r="BY55" i="2" s="1"/>
  <c r="BV36" i="2"/>
  <c r="BX36" i="2" s="1"/>
  <c r="BY36" i="2" s="1"/>
  <c r="BV54" i="2"/>
  <c r="BX54" i="2" s="1"/>
  <c r="BZ54" i="2" s="1"/>
  <c r="BV35" i="2"/>
  <c r="BX35" i="2" s="1"/>
  <c r="BZ35" i="2" s="1"/>
  <c r="BV56" i="2"/>
  <c r="BX56" i="2" s="1"/>
  <c r="BZ56" i="2" s="1"/>
  <c r="BV66" i="2"/>
  <c r="BX66" i="2" s="1"/>
  <c r="BZ66" i="2" s="1"/>
  <c r="BV41" i="2"/>
  <c r="BX41" i="2" s="1"/>
  <c r="BZ41" i="2" s="1"/>
  <c r="BV18" i="2"/>
  <c r="BX18" i="2" s="1"/>
  <c r="BZ18" i="2" s="1"/>
  <c r="BV31" i="2"/>
  <c r="BX31" i="2" s="1"/>
  <c r="BY31" i="2" s="1"/>
  <c r="BV52" i="2"/>
  <c r="BX52" i="2" s="1"/>
  <c r="CC52" i="2" s="1"/>
  <c r="BV62" i="2"/>
  <c r="BX62" i="2" s="1"/>
  <c r="BZ62" i="2" s="1"/>
  <c r="BV37" i="2"/>
  <c r="BX37" i="2" s="1"/>
  <c r="BZ37" i="2" s="1"/>
  <c r="BV67" i="2"/>
  <c r="BX67" i="2" s="1"/>
  <c r="BY67" i="2" s="1"/>
  <c r="BV47" i="2"/>
  <c r="BX47" i="2" s="1"/>
  <c r="BY47" i="2" s="1"/>
  <c r="BV23" i="2"/>
  <c r="BX23" i="2" s="1"/>
  <c r="BY23" i="2" s="1"/>
  <c r="BV68" i="2"/>
  <c r="BX68" i="2" s="1"/>
  <c r="CC68" i="2" s="1"/>
  <c r="BV48" i="2"/>
  <c r="BX48" i="2" s="1"/>
  <c r="BY48" i="2" s="1"/>
  <c r="BV24" i="2"/>
  <c r="BX24" i="2" s="1"/>
  <c r="BY24" i="2" s="1"/>
  <c r="BV42" i="2"/>
  <c r="BX42" i="2" s="1"/>
  <c r="BY42" i="2" s="1"/>
  <c r="BV57" i="2"/>
  <c r="BX57" i="2" s="1"/>
  <c r="CC57" i="2" s="1"/>
  <c r="BV25" i="2"/>
  <c r="BX25" i="2" s="1"/>
  <c r="BY25" i="2" s="1"/>
  <c r="BV63" i="2"/>
  <c r="BX63" i="2" s="1"/>
  <c r="BZ63" i="2" s="1"/>
  <c r="BV39" i="2"/>
  <c r="BX39" i="2" s="1"/>
  <c r="BZ39" i="2" s="1"/>
  <c r="BV19" i="2"/>
  <c r="BX19" i="2" s="1"/>
  <c r="BY19" i="2" s="1"/>
  <c r="BV64" i="2"/>
  <c r="BX64" i="2" s="1"/>
  <c r="BY64" i="2" s="1"/>
  <c r="BV40" i="2"/>
  <c r="BX40" i="2" s="1"/>
  <c r="BZ40" i="2" s="1"/>
  <c r="BV20" i="2"/>
  <c r="BX20" i="2" s="1"/>
  <c r="CB20" i="2" s="1"/>
  <c r="BV38" i="2"/>
  <c r="BX38" i="2" s="1"/>
  <c r="CC38" i="2" s="1"/>
  <c r="BV53" i="2"/>
  <c r="BX53" i="2" s="1"/>
  <c r="BZ53" i="2" s="1"/>
  <c r="BV21" i="2"/>
  <c r="BX21" i="2" s="1"/>
  <c r="BZ21" i="2" s="1"/>
  <c r="BY13" i="2"/>
  <c r="BZ13" i="2"/>
  <c r="BV16" i="2"/>
  <c r="BX16" i="2" s="1"/>
  <c r="CC16" i="2" s="1"/>
  <c r="BV58" i="2"/>
  <c r="BX58" i="2" s="1"/>
  <c r="CC58" i="2" s="1"/>
  <c r="BV34" i="2"/>
  <c r="BX34" i="2" s="1"/>
  <c r="CC34" i="2" s="1"/>
  <c r="BV65" i="2"/>
  <c r="BX65" i="2" s="1"/>
  <c r="CC65" i="2" s="1"/>
  <c r="BV49" i="2"/>
  <c r="BX49" i="2" s="1"/>
  <c r="CC49" i="2" s="1"/>
  <c r="BV33" i="2"/>
  <c r="BX33" i="2" s="1"/>
  <c r="CC33" i="2" s="1"/>
  <c r="BV17" i="2"/>
  <c r="BX17" i="2" s="1"/>
  <c r="CC17" i="2" s="1"/>
  <c r="BV30" i="2"/>
  <c r="BX30" i="2" s="1"/>
  <c r="BV59" i="2"/>
  <c r="BX59" i="2" s="1"/>
  <c r="CC59" i="2" s="1"/>
  <c r="BV43" i="2"/>
  <c r="BX43" i="2" s="1"/>
  <c r="CB43" i="2" s="1"/>
  <c r="BV27" i="2"/>
  <c r="BX27" i="2" s="1"/>
  <c r="CB27" i="2" s="1"/>
  <c r="BV46" i="2"/>
  <c r="BX46" i="2" s="1"/>
  <c r="BV60" i="2"/>
  <c r="BX60" i="2" s="1"/>
  <c r="CB60" i="2" s="1"/>
  <c r="BV44" i="2"/>
  <c r="BX44" i="2" s="1"/>
  <c r="CC44" i="2" s="1"/>
  <c r="BV28" i="2"/>
  <c r="BX28" i="2" s="1"/>
  <c r="CC28" i="2" s="1"/>
  <c r="BV12" i="2"/>
  <c r="BX12" i="2" s="1"/>
  <c r="BV50" i="2"/>
  <c r="BX50" i="2" s="1"/>
  <c r="BV26" i="2"/>
  <c r="BX26" i="2" s="1"/>
  <c r="CB26" i="2" s="1"/>
  <c r="BV61" i="2"/>
  <c r="BX61" i="2" s="1"/>
  <c r="CC61" i="2" s="1"/>
  <c r="BV45" i="2"/>
  <c r="BX45" i="2" s="1"/>
  <c r="BV29" i="2"/>
  <c r="BX29" i="2" s="1"/>
  <c r="CC29" i="2" s="1"/>
  <c r="CC13" i="2"/>
  <c r="CB13" i="2"/>
  <c r="BZ32" i="2" l="1"/>
  <c r="CC32" i="2"/>
  <c r="CB32" i="2"/>
  <c r="CC51" i="2"/>
  <c r="CB15" i="2"/>
  <c r="CB48" i="2"/>
  <c r="BZ15" i="2"/>
  <c r="CB31" i="2"/>
  <c r="BZ67" i="2"/>
  <c r="CB55" i="2"/>
  <c r="CB25" i="2"/>
  <c r="BZ55" i="2"/>
  <c r="BZ51" i="2"/>
  <c r="CC15" i="2"/>
  <c r="CB67" i="2"/>
  <c r="CC55" i="2"/>
  <c r="CB51" i="2"/>
  <c r="BY56" i="2"/>
  <c r="CB36" i="2"/>
  <c r="BY20" i="2"/>
  <c r="CB14" i="2"/>
  <c r="BY41" i="2"/>
  <c r="CB54" i="2"/>
  <c r="BZ14" i="2"/>
  <c r="CB39" i="2"/>
  <c r="BY39" i="2"/>
  <c r="BZ36" i="2"/>
  <c r="BY14" i="2"/>
  <c r="CC41" i="2"/>
  <c r="BY69" i="2"/>
  <c r="CC36" i="2"/>
  <c r="BJ89" i="2"/>
  <c r="AB120" i="2" s="1"/>
  <c r="BJ88" i="2"/>
  <c r="AB119" i="2" s="1"/>
  <c r="AJ122" i="2"/>
  <c r="BZ42" i="2"/>
  <c r="CC62" i="2"/>
  <c r="CB23" i="2"/>
  <c r="CB42" i="2"/>
  <c r="CB35" i="2"/>
  <c r="CC39" i="2"/>
  <c r="BY22" i="2"/>
  <c r="CB22" i="2"/>
  <c r="CC42" i="2"/>
  <c r="CC22" i="2"/>
  <c r="CB69" i="2"/>
  <c r="BY54" i="2"/>
  <c r="CC60" i="2"/>
  <c r="CB41" i="2"/>
  <c r="CB29" i="2"/>
  <c r="CB62" i="2"/>
  <c r="CC54" i="2"/>
  <c r="CC23" i="2"/>
  <c r="CC35" i="2"/>
  <c r="CB37" i="2"/>
  <c r="CB18" i="2"/>
  <c r="CC69" i="2"/>
  <c r="CB53" i="2"/>
  <c r="CC31" i="2"/>
  <c r="BY53" i="2"/>
  <c r="CC48" i="2"/>
  <c r="CC25" i="2"/>
  <c r="BY37" i="2"/>
  <c r="CC27" i="2"/>
  <c r="BY18" i="2"/>
  <c r="BY62" i="2"/>
  <c r="BZ47" i="2"/>
  <c r="BZ68" i="2"/>
  <c r="BY35" i="2"/>
  <c r="CB47" i="2"/>
  <c r="CB21" i="2"/>
  <c r="CC67" i="2"/>
  <c r="CB56" i="2"/>
  <c r="BZ31" i="2"/>
  <c r="BY21" i="2"/>
  <c r="BY66" i="2"/>
  <c r="BZ64" i="2"/>
  <c r="BZ25" i="2"/>
  <c r="BZ48" i="2"/>
  <c r="BY40" i="2"/>
  <c r="BY52" i="2"/>
  <c r="CB64" i="2"/>
  <c r="CC43" i="2"/>
  <c r="CC64" i="2"/>
  <c r="CC53" i="2"/>
  <c r="CB16" i="2"/>
  <c r="CC56" i="2"/>
  <c r="CC47" i="2"/>
  <c r="BZ24" i="2"/>
  <c r="CC40" i="2"/>
  <c r="CB66" i="2"/>
  <c r="CC63" i="2"/>
  <c r="CB40" i="2"/>
  <c r="CB24" i="2"/>
  <c r="CC66" i="2"/>
  <c r="CB52" i="2"/>
  <c r="BY63" i="2"/>
  <c r="CC37" i="2"/>
  <c r="CC18" i="2"/>
  <c r="CC24" i="2"/>
  <c r="CB34" i="2"/>
  <c r="CB63" i="2"/>
  <c r="BZ20" i="2"/>
  <c r="BZ52" i="2"/>
  <c r="CB17" i="2"/>
  <c r="CC21" i="2"/>
  <c r="CC19" i="2"/>
  <c r="BZ38" i="2"/>
  <c r="BZ57" i="2"/>
  <c r="CB38" i="2"/>
  <c r="BY38" i="2"/>
  <c r="BY68" i="2"/>
  <c r="BY57" i="2"/>
  <c r="CB68" i="2"/>
  <c r="CB28" i="2"/>
  <c r="CB57" i="2"/>
  <c r="CB61" i="2"/>
  <c r="CC20" i="2"/>
  <c r="BZ19" i="2"/>
  <c r="BZ23" i="2"/>
  <c r="CB19" i="2"/>
  <c r="BY26" i="2"/>
  <c r="BZ26" i="2"/>
  <c r="BY44" i="2"/>
  <c r="BZ44" i="2"/>
  <c r="BY43" i="2"/>
  <c r="BZ43" i="2"/>
  <c r="BY33" i="2"/>
  <c r="BZ33" i="2"/>
  <c r="BY58" i="2"/>
  <c r="BZ58" i="2"/>
  <c r="CB33" i="2"/>
  <c r="CC26" i="2"/>
  <c r="CB58" i="2"/>
  <c r="CB44" i="2"/>
  <c r="BY29" i="2"/>
  <c r="BZ29" i="2"/>
  <c r="CB50" i="2"/>
  <c r="BY50" i="2"/>
  <c r="BZ50" i="2"/>
  <c r="BY60" i="2"/>
  <c r="BZ60" i="2"/>
  <c r="CB59" i="2"/>
  <c r="BY59" i="2"/>
  <c r="BZ59" i="2"/>
  <c r="CB49" i="2"/>
  <c r="BY49" i="2"/>
  <c r="BZ49" i="2"/>
  <c r="BY16" i="2"/>
  <c r="BZ16" i="2"/>
  <c r="CC45" i="2"/>
  <c r="BY45" i="2"/>
  <c r="BZ45" i="2"/>
  <c r="CC12" i="2"/>
  <c r="BY12" i="2"/>
  <c r="BZ12" i="2"/>
  <c r="CC46" i="2"/>
  <c r="BY46" i="2"/>
  <c r="BZ46" i="2"/>
  <c r="CC30" i="2"/>
  <c r="BY30" i="2"/>
  <c r="BZ30" i="2"/>
  <c r="CB65" i="2"/>
  <c r="BY65" i="2"/>
  <c r="BZ65" i="2"/>
  <c r="CB46" i="2"/>
  <c r="BY61" i="2"/>
  <c r="BZ61" i="2"/>
  <c r="BY28" i="2"/>
  <c r="BZ28" i="2"/>
  <c r="BY27" i="2"/>
  <c r="BZ27" i="2"/>
  <c r="BY17" i="2"/>
  <c r="BZ17" i="2"/>
  <c r="BY34" i="2"/>
  <c r="BZ34" i="2"/>
  <c r="CB12" i="2"/>
  <c r="CB45" i="2"/>
  <c r="CC50" i="2"/>
  <c r="CB30" i="2"/>
  <c r="CB8" i="2" l="1"/>
  <c r="BE71" i="2"/>
  <c r="BE73" i="2" s="1"/>
  <c r="BE75" i="2" s="1"/>
  <c r="BE77" i="2" s="1"/>
  <c r="BE79" i="2" s="1"/>
  <c r="BG71" i="2"/>
  <c r="BG73" i="2" s="1"/>
  <c r="BG75" i="2" s="1"/>
  <c r="BG77" i="2" s="1"/>
  <c r="BG79" i="2" s="1"/>
  <c r="J19" i="1" l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L28" i="1" l="1"/>
  <c r="L23" i="1"/>
  <c r="L24" i="1"/>
  <c r="L20" i="1"/>
  <c r="L25" i="1"/>
  <c r="L22" i="1"/>
  <c r="L26" i="1"/>
  <c r="L19" i="1"/>
  <c r="L27" i="1"/>
  <c r="L21" i="1"/>
  <c r="R2" i="1"/>
  <c r="Q2" i="1"/>
  <c r="P2" i="1"/>
  <c r="O2" i="1"/>
  <c r="N2" i="1"/>
  <c r="M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3" i="1"/>
  <c r="J4" i="1"/>
  <c r="L4" i="1" s="1"/>
  <c r="J5" i="1"/>
  <c r="L5" i="1" s="1"/>
  <c r="J6" i="1"/>
  <c r="L6" i="1" s="1"/>
  <c r="J7" i="1"/>
  <c r="L7" i="1" s="1"/>
  <c r="J8" i="1"/>
  <c r="L8" i="1" s="1"/>
  <c r="J9" i="1"/>
  <c r="J10" i="1"/>
  <c r="L10" i="1" s="1"/>
  <c r="J11" i="1"/>
  <c r="L11" i="1" s="1"/>
  <c r="J12" i="1"/>
  <c r="J13" i="1"/>
  <c r="L13" i="1" s="1"/>
  <c r="J14" i="1"/>
  <c r="L14" i="1" s="1"/>
  <c r="J15" i="1"/>
  <c r="L15" i="1" s="1"/>
  <c r="J16" i="1"/>
  <c r="J17" i="1"/>
  <c r="J18" i="1"/>
  <c r="L18" i="1" s="1"/>
  <c r="J3" i="1"/>
  <c r="L3" i="1" s="1"/>
  <c r="L16" i="1" l="1"/>
  <c r="O16" i="1" s="1"/>
  <c r="R20" i="1"/>
  <c r="O24" i="1"/>
  <c r="M22" i="1"/>
  <c r="N23" i="1"/>
  <c r="Q25" i="1"/>
  <c r="P28" i="1"/>
  <c r="N28" i="1"/>
  <c r="O23" i="1"/>
  <c r="R23" i="1"/>
  <c r="M28" i="1"/>
  <c r="Q28" i="1"/>
  <c r="L12" i="1"/>
  <c r="R12" i="1" s="1"/>
  <c r="M23" i="1"/>
  <c r="R24" i="1"/>
  <c r="Q24" i="1"/>
  <c r="P23" i="1"/>
  <c r="R25" i="1"/>
  <c r="Q22" i="1"/>
  <c r="R22" i="1"/>
  <c r="L9" i="1"/>
  <c r="O9" i="1" s="1"/>
  <c r="O22" i="1"/>
  <c r="O20" i="1"/>
  <c r="P25" i="1"/>
  <c r="N24" i="1"/>
  <c r="O28" i="1"/>
  <c r="Q23" i="1"/>
  <c r="N25" i="1"/>
  <c r="N20" i="1"/>
  <c r="Q20" i="1"/>
  <c r="P24" i="1"/>
  <c r="R28" i="1"/>
  <c r="O25" i="1"/>
  <c r="M24" i="1"/>
  <c r="N22" i="1"/>
  <c r="M25" i="1"/>
  <c r="P22" i="1"/>
  <c r="P20" i="1"/>
  <c r="M20" i="1"/>
  <c r="L17" i="1"/>
  <c r="R17" i="1" s="1"/>
  <c r="O21" i="1"/>
  <c r="M21" i="1"/>
  <c r="Q21" i="1"/>
  <c r="N21" i="1"/>
  <c r="R21" i="1"/>
  <c r="P21" i="1"/>
  <c r="O19" i="1"/>
  <c r="P19" i="1"/>
  <c r="M19" i="1"/>
  <c r="Q19" i="1"/>
  <c r="N19" i="1"/>
  <c r="R19" i="1"/>
  <c r="O27" i="1"/>
  <c r="P27" i="1"/>
  <c r="M27" i="1"/>
  <c r="Q27" i="1"/>
  <c r="N27" i="1"/>
  <c r="R27" i="1"/>
  <c r="M26" i="1"/>
  <c r="Q26" i="1"/>
  <c r="O26" i="1"/>
  <c r="P26" i="1"/>
  <c r="N26" i="1"/>
  <c r="R26" i="1"/>
  <c r="R13" i="1"/>
  <c r="Q13" i="1"/>
  <c r="P13" i="1"/>
  <c r="O13" i="1"/>
  <c r="N13" i="1"/>
  <c r="M13" i="1"/>
  <c r="R5" i="1"/>
  <c r="Q5" i="1"/>
  <c r="P5" i="1"/>
  <c r="O5" i="1"/>
  <c r="N5" i="1"/>
  <c r="M5" i="1"/>
  <c r="R16" i="1"/>
  <c r="Q16" i="1"/>
  <c r="P16" i="1"/>
  <c r="N16" i="1"/>
  <c r="M16" i="1"/>
  <c r="R8" i="1"/>
  <c r="Q8" i="1"/>
  <c r="P8" i="1"/>
  <c r="O8" i="1"/>
  <c r="N8" i="1"/>
  <c r="M8" i="1"/>
  <c r="R4" i="1"/>
  <c r="Q4" i="1"/>
  <c r="P4" i="1"/>
  <c r="O4" i="1"/>
  <c r="N4" i="1"/>
  <c r="M4" i="1"/>
  <c r="M3" i="1"/>
  <c r="R3" i="1"/>
  <c r="Q3" i="1"/>
  <c r="P3" i="1"/>
  <c r="O3" i="1"/>
  <c r="N3" i="1"/>
  <c r="M15" i="1"/>
  <c r="R15" i="1"/>
  <c r="Q15" i="1"/>
  <c r="P15" i="1"/>
  <c r="O15" i="1"/>
  <c r="N15" i="1"/>
  <c r="M11" i="1"/>
  <c r="R11" i="1"/>
  <c r="Q11" i="1"/>
  <c r="P11" i="1"/>
  <c r="O11" i="1"/>
  <c r="N11" i="1"/>
  <c r="M7" i="1"/>
  <c r="R7" i="1"/>
  <c r="Q7" i="1"/>
  <c r="P7" i="1"/>
  <c r="O7" i="1"/>
  <c r="N7" i="1"/>
  <c r="R18" i="1"/>
  <c r="Q18" i="1"/>
  <c r="P18" i="1"/>
  <c r="O18" i="1"/>
  <c r="N18" i="1"/>
  <c r="M18" i="1"/>
  <c r="R14" i="1"/>
  <c r="Q14" i="1"/>
  <c r="P14" i="1"/>
  <c r="O14" i="1"/>
  <c r="N14" i="1"/>
  <c r="M14" i="1"/>
  <c r="R10" i="1"/>
  <c r="Q10" i="1"/>
  <c r="P10" i="1"/>
  <c r="O10" i="1"/>
  <c r="N10" i="1"/>
  <c r="M10" i="1"/>
  <c r="R6" i="1"/>
  <c r="Q6" i="1"/>
  <c r="P6" i="1"/>
  <c r="O6" i="1"/>
  <c r="N6" i="1"/>
  <c r="M6" i="1"/>
  <c r="O12" i="1" l="1"/>
  <c r="P12" i="1"/>
  <c r="M12" i="1"/>
  <c r="Q12" i="1"/>
  <c r="N12" i="1"/>
  <c r="P9" i="1"/>
  <c r="N17" i="1"/>
  <c r="Q9" i="1"/>
  <c r="M9" i="1"/>
  <c r="N9" i="1"/>
  <c r="R9" i="1"/>
  <c r="O17" i="1"/>
  <c r="M17" i="1"/>
  <c r="P17" i="1"/>
  <c r="Q17" i="1"/>
  <c r="T2" i="1" l="1"/>
  <c r="M59" i="2" s="1"/>
  <c r="U2" i="1"/>
  <c r="T8" i="1" l="1"/>
  <c r="AU60" i="2" s="1"/>
  <c r="M62" i="2"/>
  <c r="U8" i="1"/>
  <c r="AV60" i="2" s="1"/>
  <c r="A1" i="1"/>
  <c r="U13" i="1" l="1"/>
  <c r="Q68" i="2"/>
  <c r="T147" i="2" s="1"/>
  <c r="T13" i="1"/>
  <c r="K68" i="2"/>
  <c r="M147" i="2" s="1"/>
  <c r="T11" i="1"/>
  <c r="U12" i="1"/>
  <c r="T12" i="1"/>
  <c r="T10" i="1"/>
  <c r="T9" i="1"/>
  <c r="U10" i="1"/>
  <c r="U9" i="1"/>
  <c r="U11" i="1"/>
  <c r="AU62" i="2" l="1"/>
  <c r="K72" i="2" s="1"/>
  <c r="M149" i="2" s="1"/>
  <c r="AU65" i="2"/>
  <c r="AG74" i="2" s="1"/>
  <c r="M152" i="2" s="1"/>
  <c r="AV61" i="2"/>
  <c r="Q70" i="2" s="1"/>
  <c r="T148" i="2" s="1"/>
  <c r="AV63" i="2"/>
  <c r="Q74" i="2" s="1"/>
  <c r="T150" i="2" s="1"/>
  <c r="AU64" i="2"/>
  <c r="AG68" i="2" s="1"/>
  <c r="M151" i="2" s="1"/>
  <c r="AV62" i="2"/>
  <c r="Q72" i="2" s="1"/>
  <c r="T149" i="2" s="1"/>
  <c r="AV64" i="2"/>
  <c r="AM68" i="2" s="1"/>
  <c r="T151" i="2" s="1"/>
  <c r="AU61" i="2"/>
  <c r="K70" i="2" s="1"/>
  <c r="M148" i="2" s="1"/>
  <c r="AU63" i="2"/>
  <c r="K74" i="2" s="1"/>
  <c r="M150" i="2" s="1"/>
  <c r="AV65" i="2"/>
  <c r="AM74" i="2" s="1"/>
  <c r="T152" i="2" s="1"/>
</calcChain>
</file>

<file path=xl/sharedStrings.xml><?xml version="1.0" encoding="utf-8"?>
<sst xmlns="http://schemas.openxmlformats.org/spreadsheetml/2006/main" count="630" uniqueCount="239">
  <si>
    <t>Prima Fascia</t>
  </si>
  <si>
    <t>Seconda Fascia</t>
  </si>
  <si>
    <t>Terza Fascia</t>
  </si>
  <si>
    <t>Min</t>
  </si>
  <si>
    <t>Max</t>
  </si>
  <si>
    <t>Comune</t>
  </si>
  <si>
    <t>Zona</t>
  </si>
  <si>
    <t>Trento</t>
  </si>
  <si>
    <t>Rovereto</t>
  </si>
  <si>
    <t>Riva Del Garda</t>
  </si>
  <si>
    <t>Pergine Valsugana</t>
  </si>
  <si>
    <t>Arco</t>
  </si>
  <si>
    <t>A</t>
  </si>
  <si>
    <t>B</t>
  </si>
  <si>
    <t>C</t>
  </si>
  <si>
    <t>D</t>
  </si>
  <si>
    <t>E</t>
  </si>
  <si>
    <t>F</t>
  </si>
  <si>
    <t>Minimo</t>
  </si>
  <si>
    <t>Massimo</t>
  </si>
  <si>
    <t>Check</t>
  </si>
  <si>
    <t>Tipologia edilizia</t>
  </si>
  <si>
    <t>Fascia</t>
  </si>
  <si>
    <t>Città</t>
  </si>
  <si>
    <t>Alloggio singolo o bifamiliare</t>
  </si>
  <si>
    <t>Stabile fino a 10 alloggi per scala</t>
  </si>
  <si>
    <t>Metratura calpestabile</t>
  </si>
  <si>
    <t>Stabile con più di 10 alloggi per scala</t>
  </si>
  <si>
    <t>Tipologia catastale</t>
  </si>
  <si>
    <t>A/7 o superiore; A/2 cl. 7, 6, e 5</t>
  </si>
  <si>
    <t>Appartamento interno</t>
  </si>
  <si>
    <t>A/2 cl. Da 4 a 1; A/3 cl. 6 e 5</t>
  </si>
  <si>
    <t>A/3 cl. Da 4 a 1; restanti categorie</t>
  </si>
  <si>
    <t>Prestazione energetica</t>
  </si>
  <si>
    <t>Classificazione energetica A</t>
  </si>
  <si>
    <t>App. Interno corretto</t>
  </si>
  <si>
    <t>Classificazione energetica B+ o B</t>
  </si>
  <si>
    <t>Classificazione energetica C</t>
  </si>
  <si>
    <t>Classificazione energetica D</t>
  </si>
  <si>
    <t>Box auto</t>
  </si>
  <si>
    <t>&gt;50%</t>
  </si>
  <si>
    <t>Classificazione energetica inferiore</t>
  </si>
  <si>
    <t>Accessori esclusivi e arredamento</t>
  </si>
  <si>
    <t>Posto auto</t>
  </si>
  <si>
    <t>&gt;20%</t>
  </si>
  <si>
    <t>Parcheggio coperto/scoperto esclusivo</t>
  </si>
  <si>
    <t>Doppi servizi</t>
  </si>
  <si>
    <t>Cantina</t>
  </si>
  <si>
    <t>Balconi, cantine, soffitte</t>
  </si>
  <si>
    <t>&gt;25%</t>
  </si>
  <si>
    <t>Soffitta</t>
  </si>
  <si>
    <t>Taverna</t>
  </si>
  <si>
    <t>Ripostiglio esterno all'alloggio</t>
  </si>
  <si>
    <t>Scoperto esclusivo</t>
  </si>
  <si>
    <t>&gt;15%</t>
  </si>
  <si>
    <t>Balcone/giardino (solo superiore a 3mq)</t>
  </si>
  <si>
    <t>Arredamento completo</t>
  </si>
  <si>
    <t>Scoperto in quota millesim.</t>
  </si>
  <si>
    <t>&gt;10%</t>
  </si>
  <si>
    <t>Sola cucina</t>
  </si>
  <si>
    <t>Servizi Tecnici</t>
  </si>
  <si>
    <t>Ascensore</t>
  </si>
  <si>
    <t>Totale parziale</t>
  </si>
  <si>
    <t>Riscaldamento autonomo</t>
  </si>
  <si>
    <t>Doppi vetri</t>
  </si>
  <si>
    <t>Correzione secondo l'accordo territoriale</t>
  </si>
  <si>
    <t>Impianto di condizionamento</t>
  </si>
  <si>
    <t>Verde e/o scoperto condominiale</t>
  </si>
  <si>
    <t>Portoncino blindato</t>
  </si>
  <si>
    <t>Sistema di sicurezza, videocitofono, etc.</t>
  </si>
  <si>
    <t>Metratura utile per il calcolo</t>
  </si>
  <si>
    <t>Esposizione</t>
  </si>
  <si>
    <t>Se l'immobile è disposto su tre lati, lasciare vuoto il lato con meno finestre</t>
  </si>
  <si>
    <t>Riepilogo dati</t>
  </si>
  <si>
    <t>N</t>
  </si>
  <si>
    <t>Coefficienti</t>
  </si>
  <si>
    <t>O</t>
  </si>
  <si>
    <t>S</t>
  </si>
  <si>
    <t>NO</t>
  </si>
  <si>
    <t>Imm. Storico?</t>
  </si>
  <si>
    <t>x</t>
  </si>
  <si>
    <t>N. Acc.</t>
  </si>
  <si>
    <t>N. Serv.</t>
  </si>
  <si>
    <t>Nord</t>
  </si>
  <si>
    <t>Est</t>
  </si>
  <si>
    <t>Ovest</t>
  </si>
  <si>
    <t>Sud</t>
  </si>
  <si>
    <t>tot a</t>
  </si>
  <si>
    <t>tot b</t>
  </si>
  <si>
    <t>tot c</t>
  </si>
  <si>
    <t>Toh, un pratico calcolatore!</t>
  </si>
  <si>
    <t>Questo calcola la fascia</t>
  </si>
  <si>
    <t>corretto</t>
  </si>
  <si>
    <t>tetto</t>
  </si>
  <si>
    <t>finale</t>
  </si>
  <si>
    <t>INDIRIZZO IMMOBILE</t>
  </si>
  <si>
    <t>Somma</t>
  </si>
  <si>
    <t>PARTICELLA EDIFICIALE</t>
  </si>
  <si>
    <t>=</t>
  </si>
  <si>
    <t>Correz. Metri appartamento interno: l'aumento applicato non può sforare nella cat superiore. Es: sotto il 46 aumento del 20% ma non è che se è 45 diventa 54, si ferma a 46.</t>
  </si>
  <si>
    <t>SUBALTERNO</t>
  </si>
  <si>
    <t>MIN</t>
  </si>
  <si>
    <t>MAX</t>
  </si>
  <si>
    <t>CHECK</t>
  </si>
  <si>
    <t>Firmato</t>
  </si>
  <si>
    <t>checkfirm</t>
  </si>
  <si>
    <t>Presso</t>
  </si>
  <si>
    <t>TRENTO</t>
  </si>
  <si>
    <t>Correzioni secondo l'art. 13 della Legge 392/1978</t>
  </si>
  <si>
    <t>ROVERETO</t>
  </si>
  <si>
    <t>Questa sezione calcola la correzione finale delle superfici</t>
  </si>
  <si>
    <t>Metratura fino a 40,99mq</t>
  </si>
  <si>
    <t>Metratura tra 41 e 50,99mq</t>
  </si>
  <si>
    <t>Metratura tra 51 e 60,99mq</t>
  </si>
  <si>
    <t>Metratura tra 61 e 70,99mq</t>
  </si>
  <si>
    <t>Metratura tra 71 e 80,99mq</t>
  </si>
  <si>
    <t>Metratura tra 81 e 90,99mq</t>
  </si>
  <si>
    <t>Metratura tra 91 e 120mq</t>
  </si>
  <si>
    <t>ARCO</t>
  </si>
  <si>
    <t>Metratura superiore a 120mq</t>
  </si>
  <si>
    <t>Qui applica le variazioni previste, e fa un controllo in modo che l'aumento/diminuzione non porti la metratura nella fascia superiore o inferiore.</t>
  </si>
  <si>
    <t>PERGINE VALSUGANA</t>
  </si>
  <si>
    <t>Check studenti</t>
  </si>
  <si>
    <t>Trento o Rovereto?</t>
  </si>
  <si>
    <t>RIVA DEL GARDA</t>
  </si>
  <si>
    <t>bd61</t>
  </si>
  <si>
    <t>Trento zona A=15%, altre 20%</t>
  </si>
  <si>
    <t>bd62</t>
  </si>
  <si>
    <t>bd63</t>
  </si>
  <si>
    <t>aumenti</t>
  </si>
  <si>
    <t>TRANSITORI</t>
  </si>
  <si>
    <t>STUDENTI</t>
  </si>
  <si>
    <t>Transitori</t>
  </si>
  <si>
    <t>Studenti</t>
  </si>
  <si>
    <t>3+2</t>
  </si>
  <si>
    <t>Trento zona A</t>
  </si>
  <si>
    <t>imm storico</t>
  </si>
  <si>
    <t>4+2</t>
  </si>
  <si>
    <t>Transitori centro storico</t>
  </si>
  <si>
    <t>Riva del Garda</t>
  </si>
  <si>
    <t>5+2</t>
  </si>
  <si>
    <t>ISTAT DIC 2019</t>
  </si>
  <si>
    <t>Aggiornato</t>
  </si>
  <si>
    <t>6+2</t>
  </si>
  <si>
    <t>ISTAT DIC 2020</t>
  </si>
  <si>
    <t>NON COMPILARE NULLA DA QUI IN GIU</t>
  </si>
  <si>
    <t>ISTAT DIC 2021</t>
  </si>
  <si>
    <t>DICHIARAZIONE DI RISPONDENZA EX D.M. 16.01.2017</t>
  </si>
  <si>
    <t>ISTAT DIC 2022</t>
  </si>
  <si>
    <t>V</t>
  </si>
  <si>
    <t>TOTALE PARZIALE</t>
  </si>
  <si>
    <t>reali</t>
  </si>
  <si>
    <t>variaz</t>
  </si>
  <si>
    <t>corretti</t>
  </si>
  <si>
    <t>paletti</t>
  </si>
  <si>
    <t>corretti ok</t>
  </si>
  <si>
    <t>check fascia metri</t>
  </si>
  <si>
    <t>check città</t>
  </si>
  <si>
    <t>CORRETTO</t>
  </si>
  <si>
    <t>Frase1</t>
  </si>
  <si>
    <t>Frase2</t>
  </si>
  <si>
    <t>Aumento 40%</t>
  </si>
  <si>
    <t>Aumento 30%</t>
  </si>
  <si>
    <t>Aumento 20%</t>
  </si>
  <si>
    <t>Aumento 10%</t>
  </si>
  <si>
    <t>Aumento 5%</t>
  </si>
  <si>
    <t>Nessuna variazione</t>
  </si>
  <si>
    <t>Riduzione 5%</t>
  </si>
  <si>
    <t>Riduzione 10%</t>
  </si>
  <si>
    <t>Metratura tra 61 e 90,99 mq</t>
  </si>
  <si>
    <t>Terrazzo o balcone (solo superiore a 3mq)</t>
  </si>
  <si>
    <t>Immobile tutelato (art. 1 comma 2 lettera A L. 491/1998)</t>
  </si>
  <si>
    <t xml:space="preserve">Firma del dichiarante   </t>
  </si>
  <si>
    <t xml:space="preserve">Ciò premesso, l'U.P.P.I., sulla base degli elementi oggettivi sopra dichiarati, ai fini dell'ottenimento di eventuali agevolazioni fiscali, </t>
  </si>
  <si>
    <t>Territoriale vigente a</t>
  </si>
  <si>
    <t>e sono da ritenersi applicabili ai contratti stipulati dal</t>
  </si>
  <si>
    <t>fino all'entrata in vigore del successivo Accordo Territoriale (D.L. 21/06/2022 n. 73).</t>
  </si>
  <si>
    <t>minimo</t>
  </si>
  <si>
    <t>massimo</t>
  </si>
  <si>
    <t xml:space="preserve">Trento, </t>
  </si>
  <si>
    <t>L'organizzazione</t>
  </si>
  <si>
    <t>Transitorio</t>
  </si>
  <si>
    <t>Metri appartamento</t>
  </si>
  <si>
    <t>Box Auto</t>
  </si>
  <si>
    <t>Posto Auto</t>
  </si>
  <si>
    <t>Scoperto in quota millesimale</t>
  </si>
  <si>
    <t>Correzione metri app. interno</t>
  </si>
  <si>
    <t>0,00 - 45,99</t>
  </si>
  <si>
    <t>70,00 - inf.</t>
  </si>
  <si>
    <t>fascia</t>
  </si>
  <si>
    <t>correz</t>
  </si>
  <si>
    <t>46,00 - 69,99</t>
  </si>
  <si>
    <t>ris. Parz</t>
  </si>
  <si>
    <t>con tetto</t>
  </si>
  <si>
    <t>vedi sotto</t>
  </si>
  <si>
    <t>Reale</t>
  </si>
  <si>
    <t>Corretto</t>
  </si>
  <si>
    <t>Dato corretto</t>
  </si>
  <si>
    <t>}</t>
  </si>
  <si>
    <t>new</t>
  </si>
  <si>
    <t>min</t>
  </si>
  <si>
    <t>max</t>
  </si>
  <si>
    <t>Trans +20% - Stud +20% // zona A +15% entrambi</t>
  </si>
  <si>
    <t>NOTA PER ME STESSO</t>
  </si>
  <si>
    <t>per pergine, arco, riva</t>
  </si>
  <si>
    <t>se invece del 30% per i transitori serve cambiare</t>
  </si>
  <si>
    <t>basta modificare il "130" delle caselle W12 e W13</t>
  </si>
  <si>
    <t>in "120"</t>
  </si>
  <si>
    <t>(evidenziate in arancio)</t>
  </si>
  <si>
    <t>o in quello che sarà</t>
  </si>
  <si>
    <t>%</t>
  </si>
  <si>
    <t>metratura tra 41 e 50,99 mq</t>
  </si>
  <si>
    <t>metratura fino a 40,99 mq</t>
  </si>
  <si>
    <t>metratura tra 51 e 60,99 mq</t>
  </si>
  <si>
    <t>metratura tra 61 e 70,99 mq</t>
  </si>
  <si>
    <t>metratura tra 71 e 80,99 mq</t>
  </si>
  <si>
    <t>metratura tra 81 e 90,99 mq</t>
  </si>
  <si>
    <t>metratura tra 91 e 120,00 mq</t>
  </si>
  <si>
    <t>metratura superiore a 120mq</t>
  </si>
  <si>
    <t>aumento 40%</t>
  </si>
  <si>
    <t>aumento 30%</t>
  </si>
  <si>
    <t>aumento 20%</t>
  </si>
  <si>
    <t>aumento 10%</t>
  </si>
  <si>
    <t>aumento 5%</t>
  </si>
  <si>
    <t>nessuna variazione</t>
  </si>
  <si>
    <t>riduzione 5%</t>
  </si>
  <si>
    <t>riduzione 10%</t>
  </si>
  <si>
    <t>Portoncino Blindato</t>
  </si>
  <si>
    <t>PROPRIETARI</t>
  </si>
  <si>
    <t>INQUILINI</t>
  </si>
  <si>
    <t>TIPO CONTRATTO</t>
  </si>
  <si>
    <t>01/01/2025</t>
  </si>
  <si>
    <t>100,00</t>
  </si>
  <si>
    <t>Ciò premesso, l'U.P.P.I., sulla base degli elementi oggettivi sopra dichiarati, ai fini dell'ottenimento di agevolazioni fiscali, ATTESTA Che i contenuti conomici e normativi del contratto corrispondono a quanto previsto dall'accordo territoriale. I valori sono stati calcolati in base ai parametri dell'Accordo</t>
  </si>
  <si>
    <t>BOZZA CALCOLO CANONE CONCORDATO - modificare solo le celle blu</t>
  </si>
  <si>
    <t>Parcheggio box (cat. C/6)</t>
  </si>
  <si>
    <t>Metratura come da APE</t>
  </si>
  <si>
    <t>Posto auto (solo se cat. C/6)</t>
  </si>
  <si>
    <t>I valori minimi e massimi sono indicativi e devono essere verificati presso un'associazione firmataria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</si>
</sst>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dd/mm/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color theme="1"/>
      <name val="Verdana"/>
      <family val="2"/>
    </font>
    <font>
      <i/>
      <sz val="8"/>
      <color theme="1"/>
      <name val="Verdana"/>
      <family val="2"/>
    </font>
    <font>
      <i/>
      <sz val="6"/>
      <color theme="1"/>
      <name val="Verdana"/>
      <family val="2"/>
    </font>
    <font>
      <b/>
      <sz val="10"/>
      <color theme="1"/>
      <name val="Verdana"/>
      <family val="2"/>
    </font>
    <font>
      <sz val="6"/>
      <color theme="1"/>
      <name val="Verdana"/>
      <family val="2"/>
    </font>
    <font>
      <b/>
      <sz val="8"/>
      <color rgb="FFFF0000"/>
      <name val="Verdana"/>
      <family val="2"/>
    </font>
    <font>
      <sz val="28"/>
      <color rgb="FFFF0000"/>
      <name val="Verdana"/>
      <family val="2"/>
    </font>
    <font>
      <i/>
      <sz val="8"/>
      <color theme="5" tint="0.3999755851924192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rgb="FFFF0000"/>
      <name val="Verdana"/>
      <family val="2"/>
    </font>
    <font>
      <sz val="8"/>
      <color theme="0"/>
      <name val="Verdana"/>
      <family val="2"/>
    </font>
    <font>
      <b/>
      <sz val="14"/>
      <color theme="1"/>
      <name val="Verdana"/>
      <family val="2"/>
    </font>
    <font>
      <b/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5"/>
      <color theme="1"/>
      <name val="Calibri"/>
      <family val="2"/>
      <scheme val="minor"/>
    </font>
    <font>
      <sz val="7"/>
      <color theme="1"/>
      <name val="Verdana"/>
      <family val="2"/>
    </font>
    <font>
      <b/>
      <strike/>
      <sz val="8"/>
      <color theme="1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4" fontId="0" fillId="5" borderId="14" xfId="0" applyNumberFormat="1" applyFill="1" applyBorder="1"/>
    <xf numFmtId="44" fontId="0" fillId="6" borderId="15" xfId="0" applyNumberFormat="1" applyFill="1" applyBorder="1"/>
    <xf numFmtId="44" fontId="4" fillId="5" borderId="6" xfId="0" applyNumberFormat="1" applyFont="1" applyFill="1" applyBorder="1"/>
    <xf numFmtId="44" fontId="4" fillId="6" borderId="7" xfId="0" applyNumberFormat="1" applyFont="1" applyFill="1" applyBorder="1"/>
    <xf numFmtId="44" fontId="4" fillId="5" borderId="8" xfId="0" applyNumberFormat="1" applyFont="1" applyFill="1" applyBorder="1"/>
    <xf numFmtId="44" fontId="4" fillId="6" borderId="9" xfId="0" applyNumberFormat="1" applyFont="1" applyFill="1" applyBorder="1"/>
    <xf numFmtId="44" fontId="4" fillId="5" borderId="10" xfId="0" applyNumberFormat="1" applyFont="1" applyFill="1" applyBorder="1"/>
    <xf numFmtId="44" fontId="4" fillId="6" borderId="11" xfId="0" applyNumberFormat="1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9" fillId="0" borderId="0" xfId="0" applyFont="1" applyProtection="1"/>
    <xf numFmtId="0" fontId="7" fillId="0" borderId="0" xfId="0" applyFont="1" applyBorder="1" applyProtection="1"/>
    <xf numFmtId="0" fontId="8" fillId="0" borderId="0" xfId="0" applyFont="1" applyAlignment="1" applyProtection="1">
      <alignment horizontal="right"/>
    </xf>
    <xf numFmtId="0" fontId="10" fillId="0" borderId="0" xfId="0" applyFont="1" applyProtection="1"/>
    <xf numFmtId="0" fontId="11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7" fillId="0" borderId="0" xfId="0" applyFont="1" applyFill="1" applyBorder="1" applyProtection="1"/>
    <xf numFmtId="0" fontId="9" fillId="0" borderId="0" xfId="0" applyFont="1" applyAlignment="1" applyProtection="1">
      <alignment horizontal="right"/>
    </xf>
    <xf numFmtId="0" fontId="7" fillId="0" borderId="17" xfId="0" applyFont="1" applyBorder="1" applyProtection="1"/>
    <xf numFmtId="0" fontId="7" fillId="0" borderId="0" xfId="0" applyFont="1" applyAlignment="1" applyProtection="1"/>
    <xf numFmtId="0" fontId="7" fillId="0" borderId="0" xfId="0" applyFont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7" fillId="0" borderId="0" xfId="0" applyFont="1" applyBorder="1" applyAlignment="1" applyProtection="1">
      <alignment horizontal="right"/>
    </xf>
    <xf numFmtId="0" fontId="7" fillId="0" borderId="30" xfId="0" applyFont="1" applyBorder="1" applyAlignment="1" applyProtection="1">
      <alignment vertical="center"/>
    </xf>
    <xf numFmtId="0" fontId="7" fillId="0" borderId="31" xfId="0" applyFont="1" applyBorder="1" applyAlignment="1" applyProtection="1">
      <alignment vertical="center"/>
    </xf>
    <xf numFmtId="0" fontId="7" fillId="0" borderId="32" xfId="0" applyFont="1" applyBorder="1" applyAlignment="1" applyProtection="1">
      <alignment vertical="center"/>
    </xf>
    <xf numFmtId="0" fontId="7" fillId="0" borderId="0" xfId="0" applyFont="1" applyAlignment="1" applyProtection="1">
      <alignment vertical="top" wrapText="1"/>
    </xf>
    <xf numFmtId="43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top"/>
    </xf>
    <xf numFmtId="164" fontId="7" fillId="0" borderId="0" xfId="0" applyNumberFormat="1" applyFont="1" applyAlignment="1" applyProtection="1"/>
    <xf numFmtId="0" fontId="7" fillId="0" borderId="0" xfId="0" applyFont="1" applyAlignment="1" applyProtection="1">
      <alignment vertical="center"/>
    </xf>
    <xf numFmtId="0" fontId="0" fillId="0" borderId="0" xfId="0" applyAlignment="1">
      <alignment horizontal="left"/>
    </xf>
    <xf numFmtId="44" fontId="0" fillId="0" borderId="0" xfId="0" applyNumberFormat="1"/>
    <xf numFmtId="2" fontId="2" fillId="3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2" fontId="0" fillId="0" borderId="5" xfId="0" applyNumberFormat="1" applyBorder="1"/>
    <xf numFmtId="9" fontId="0" fillId="0" borderId="0" xfId="3" applyFont="1"/>
    <xf numFmtId="2" fontId="0" fillId="11" borderId="5" xfId="0" applyNumberFormat="1" applyFill="1" applyBorder="1"/>
    <xf numFmtId="0" fontId="0" fillId="0" borderId="0" xfId="0" applyFill="1" applyBorder="1" applyAlignment="1">
      <alignment horizontal="center"/>
    </xf>
    <xf numFmtId="2" fontId="2" fillId="0" borderId="5" xfId="0" applyNumberFormat="1" applyFont="1" applyBorder="1"/>
    <xf numFmtId="0" fontId="23" fillId="0" borderId="0" xfId="0" applyFont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Border="1" applyAlignment="1">
      <alignment horizontal="center"/>
    </xf>
    <xf numFmtId="0" fontId="0" fillId="0" borderId="22" xfId="0" applyBorder="1"/>
    <xf numFmtId="2" fontId="0" fillId="0" borderId="0" xfId="0" applyNumberFormat="1" applyBorder="1"/>
    <xf numFmtId="2" fontId="2" fillId="0" borderId="0" xfId="0" applyNumberFormat="1" applyFont="1" applyBorder="1"/>
    <xf numFmtId="0" fontId="0" fillId="0" borderId="0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9" fontId="23" fillId="0" borderId="0" xfId="3" applyFont="1" applyBorder="1" applyAlignment="1">
      <alignment horizontal="center"/>
    </xf>
    <xf numFmtId="2" fontId="2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0" fillId="0" borderId="5" xfId="0" applyBorder="1" applyAlignment="1">
      <alignment horizontal="center"/>
    </xf>
    <xf numFmtId="14" fontId="0" fillId="0" borderId="0" xfId="0" applyNumberFormat="1"/>
    <xf numFmtId="0" fontId="22" fillId="14" borderId="0" xfId="0" applyFont="1" applyFill="1" applyAlignment="1">
      <alignment horizontal="center"/>
    </xf>
    <xf numFmtId="0" fontId="0" fillId="14" borderId="0" xfId="0" applyFill="1"/>
    <xf numFmtId="0" fontId="0" fillId="0" borderId="0" xfId="0" applyFill="1"/>
    <xf numFmtId="0" fontId="3" fillId="0" borderId="0" xfId="0" applyFont="1"/>
    <xf numFmtId="0" fontId="7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justify" vertical="center" wrapText="1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4" fontId="7" fillId="0" borderId="0" xfId="0" applyNumberFormat="1" applyFont="1" applyProtection="1"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6" xfId="0" applyFont="1" applyBorder="1" applyAlignment="1" applyProtection="1">
      <alignment horizontal="center"/>
      <protection hidden="1"/>
    </xf>
    <xf numFmtId="0" fontId="7" fillId="0" borderId="7" xfId="0" applyFont="1" applyBorder="1" applyAlignment="1" applyProtection="1">
      <alignment horizontal="center"/>
      <protection hidden="1"/>
    </xf>
    <xf numFmtId="49" fontId="8" fillId="0" borderId="0" xfId="0" applyNumberFormat="1" applyFont="1" applyFill="1" applyAlignment="1" applyProtection="1">
      <alignment vertical="top" wrapText="1"/>
      <protection hidden="1"/>
    </xf>
    <xf numFmtId="2" fontId="7" fillId="9" borderId="8" xfId="0" applyNumberFormat="1" applyFont="1" applyFill="1" applyBorder="1" applyAlignment="1" applyProtection="1">
      <alignment vertical="center"/>
      <protection hidden="1"/>
    </xf>
    <xf numFmtId="2" fontId="7" fillId="9" borderId="0" xfId="0" applyNumberFormat="1" applyFont="1" applyFill="1" applyBorder="1" applyAlignment="1" applyProtection="1">
      <alignment vertical="center"/>
      <protection hidden="1"/>
    </xf>
    <xf numFmtId="2" fontId="8" fillId="0" borderId="9" xfId="0" applyNumberFormat="1" applyFont="1" applyBorder="1" applyProtection="1">
      <protection hidden="1"/>
    </xf>
    <xf numFmtId="14" fontId="8" fillId="0" borderId="0" xfId="0" applyNumberFormat="1" applyFont="1" applyProtection="1">
      <protection hidden="1"/>
    </xf>
    <xf numFmtId="0" fontId="7" fillId="0" borderId="8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2" fontId="18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2" fontId="7" fillId="7" borderId="0" xfId="0" applyNumberFormat="1" applyFont="1" applyFill="1" applyProtection="1"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quotePrefix="1" applyFont="1" applyAlignment="1" applyProtection="1">
      <alignment horizontal="center" vertical="center"/>
      <protection hidden="1"/>
    </xf>
    <xf numFmtId="2" fontId="7" fillId="5" borderId="0" xfId="0" applyNumberFormat="1" applyFont="1" applyFill="1" applyProtection="1">
      <protection hidden="1"/>
    </xf>
    <xf numFmtId="0" fontId="7" fillId="0" borderId="18" xfId="0" applyFont="1" applyBorder="1" applyProtection="1">
      <protection hidden="1"/>
    </xf>
    <xf numFmtId="0" fontId="7" fillId="0" borderId="19" xfId="0" applyFont="1" applyBorder="1" applyProtection="1">
      <protection hidden="1"/>
    </xf>
    <xf numFmtId="0" fontId="7" fillId="0" borderId="20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14" fontId="8" fillId="0" borderId="0" xfId="0" applyNumberFormat="1" applyFont="1" applyAlignment="1" applyProtection="1">
      <alignment horizontal="center"/>
      <protection hidden="1"/>
    </xf>
    <xf numFmtId="0" fontId="7" fillId="0" borderId="21" xfId="0" applyFont="1" applyBorder="1" applyProtection="1">
      <protection hidden="1"/>
    </xf>
    <xf numFmtId="0" fontId="7" fillId="0" borderId="22" xfId="0" applyFont="1" applyBorder="1" applyProtection="1">
      <protection hidden="1"/>
    </xf>
    <xf numFmtId="43" fontId="7" fillId="0" borderId="0" xfId="2" applyFont="1" applyAlignment="1" applyProtection="1">
      <alignment horizontal="center"/>
      <protection hidden="1"/>
    </xf>
    <xf numFmtId="0" fontId="7" fillId="8" borderId="0" xfId="0" applyFont="1" applyFill="1" applyAlignment="1" applyProtection="1">
      <alignment horizontal="center"/>
      <protection hidden="1"/>
    </xf>
    <xf numFmtId="43" fontId="9" fillId="0" borderId="0" xfId="2" applyFont="1" applyProtection="1">
      <protection hidden="1"/>
    </xf>
    <xf numFmtId="0" fontId="7" fillId="8" borderId="23" xfId="0" applyFont="1" applyFill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9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10" xfId="0" applyFont="1" applyBorder="1" applyAlignment="1" applyProtection="1">
      <alignment horizontal="center"/>
      <protection hidden="1"/>
    </xf>
    <xf numFmtId="0" fontId="7" fillId="0" borderId="17" xfId="0" applyFont="1" applyBorder="1" applyAlignment="1" applyProtection="1">
      <alignment horizontal="center"/>
      <protection hidden="1"/>
    </xf>
    <xf numFmtId="0" fontId="7" fillId="0" borderId="11" xfId="0" applyFont="1" applyBorder="1" applyAlignment="1" applyProtection="1">
      <alignment horizontal="center"/>
      <protection hidden="1"/>
    </xf>
    <xf numFmtId="0" fontId="10" fillId="9" borderId="24" xfId="0" applyFont="1" applyFill="1" applyBorder="1" applyAlignment="1" applyProtection="1">
      <alignment horizontal="center"/>
      <protection hidden="1"/>
    </xf>
    <xf numFmtId="0" fontId="7" fillId="8" borderId="5" xfId="0" applyFont="1" applyFill="1" applyBorder="1" applyAlignment="1" applyProtection="1">
      <alignment horizontal="center"/>
      <protection hidden="1"/>
    </xf>
    <xf numFmtId="49" fontId="8" fillId="10" borderId="0" xfId="0" applyNumberFormat="1" applyFont="1" applyFill="1" applyAlignment="1" applyProtection="1">
      <alignment vertical="top" wrapText="1"/>
      <protection hidden="1"/>
    </xf>
    <xf numFmtId="49" fontId="8" fillId="10" borderId="0" xfId="0" applyNumberFormat="1" applyFont="1" applyFill="1" applyProtection="1">
      <protection hidden="1"/>
    </xf>
    <xf numFmtId="0" fontId="7" fillId="0" borderId="25" xfId="0" applyFont="1" applyBorder="1" applyAlignment="1" applyProtection="1">
      <alignment horizontal="center"/>
      <protection hidden="1"/>
    </xf>
    <xf numFmtId="0" fontId="26" fillId="0" borderId="0" xfId="0" applyFont="1" applyFill="1" applyProtection="1">
      <protection hidden="1"/>
    </xf>
    <xf numFmtId="0" fontId="7" fillId="0" borderId="26" xfId="0" applyFont="1" applyBorder="1" applyAlignment="1" applyProtection="1">
      <alignment horizontal="center"/>
      <protection hidden="1"/>
    </xf>
    <xf numFmtId="43" fontId="7" fillId="0" borderId="0" xfId="2" applyFont="1" applyProtection="1">
      <protection hidden="1"/>
    </xf>
    <xf numFmtId="0" fontId="8" fillId="10" borderId="0" xfId="0" applyFont="1" applyFill="1" applyProtection="1">
      <protection hidden="1"/>
    </xf>
    <xf numFmtId="49" fontId="8" fillId="10" borderId="0" xfId="1" applyNumberFormat="1" applyFont="1" applyFill="1" applyAlignment="1" applyProtection="1">
      <protection hidden="1"/>
    </xf>
    <xf numFmtId="0" fontId="7" fillId="0" borderId="7" xfId="0" applyFont="1" applyFill="1" applyBorder="1" applyProtection="1">
      <protection hidden="1"/>
    </xf>
    <xf numFmtId="49" fontId="8" fillId="10" borderId="0" xfId="0" applyNumberFormat="1" applyFont="1" applyFill="1" applyAlignment="1" applyProtection="1">
      <alignment horizontal="left"/>
      <protection hidden="1"/>
    </xf>
    <xf numFmtId="0" fontId="7" fillId="0" borderId="9" xfId="0" applyFont="1" applyFill="1" applyBorder="1" applyProtection="1">
      <protection hidden="1"/>
    </xf>
    <xf numFmtId="14" fontId="8" fillId="10" borderId="0" xfId="0" applyNumberFormat="1" applyFont="1" applyFill="1" applyAlignment="1" applyProtection="1">
      <alignment horizontal="left"/>
      <protection hidden="1"/>
    </xf>
    <xf numFmtId="0" fontId="7" fillId="0" borderId="8" xfId="0" applyFont="1" applyFill="1" applyBorder="1" applyProtection="1">
      <protection hidden="1"/>
    </xf>
    <xf numFmtId="2" fontId="7" fillId="0" borderId="0" xfId="0" applyNumberFormat="1" applyFont="1" applyFill="1" applyBorder="1" applyProtection="1">
      <protection hidden="1"/>
    </xf>
    <xf numFmtId="9" fontId="7" fillId="0" borderId="0" xfId="0" applyNumberFormat="1" applyFont="1" applyFill="1" applyBorder="1" applyProtection="1">
      <protection hidden="1"/>
    </xf>
    <xf numFmtId="2" fontId="8" fillId="0" borderId="0" xfId="0" applyNumberFormat="1" applyFont="1" applyFill="1" applyBorder="1" applyProtection="1">
      <protection hidden="1"/>
    </xf>
    <xf numFmtId="2" fontId="7" fillId="0" borderId="9" xfId="0" applyNumberFormat="1" applyFont="1" applyFill="1" applyBorder="1" applyAlignment="1" applyProtection="1">
      <alignment horizontal="right"/>
      <protection hidden="1"/>
    </xf>
    <xf numFmtId="1" fontId="7" fillId="0" borderId="0" xfId="0" applyNumberFormat="1" applyFont="1" applyProtection="1">
      <protection hidden="1"/>
    </xf>
    <xf numFmtId="9" fontId="7" fillId="11" borderId="0" xfId="0" applyNumberFormat="1" applyFont="1" applyFill="1" applyBorder="1" applyProtection="1">
      <protection hidden="1"/>
    </xf>
    <xf numFmtId="1" fontId="7" fillId="11" borderId="0" xfId="0" applyNumberFormat="1" applyFont="1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8" fillId="0" borderId="8" xfId="0" applyFont="1" applyFill="1" applyBorder="1" applyProtection="1">
      <protection hidden="1"/>
    </xf>
    <xf numFmtId="0" fontId="7" fillId="2" borderId="0" xfId="0" applyFont="1" applyFill="1" applyBorder="1" applyProtection="1">
      <protection hidden="1"/>
    </xf>
    <xf numFmtId="9" fontId="7" fillId="2" borderId="0" xfId="3" applyFont="1" applyFill="1" applyBorder="1" applyProtection="1">
      <protection hidden="1"/>
    </xf>
    <xf numFmtId="1" fontId="7" fillId="0" borderId="0" xfId="0" applyNumberFormat="1" applyFont="1" applyBorder="1" applyProtection="1">
      <protection hidden="1"/>
    </xf>
    <xf numFmtId="0" fontId="7" fillId="5" borderId="0" xfId="0" applyFont="1" applyFill="1" applyProtection="1">
      <protection hidden="1"/>
    </xf>
    <xf numFmtId="0" fontId="9" fillId="8" borderId="24" xfId="0" applyFont="1" applyFill="1" applyBorder="1" applyAlignment="1" applyProtection="1">
      <alignment horizontal="right"/>
      <protection hidden="1"/>
    </xf>
    <xf numFmtId="0" fontId="9" fillId="8" borderId="5" xfId="0" applyFont="1" applyFill="1" applyBorder="1" applyAlignment="1" applyProtection="1">
      <alignment horizontal="center"/>
      <protection hidden="1"/>
    </xf>
    <xf numFmtId="0" fontId="7" fillId="0" borderId="10" xfId="0" applyFont="1" applyBorder="1" applyProtection="1">
      <protection hidden="1"/>
    </xf>
    <xf numFmtId="0" fontId="7" fillId="2" borderId="17" xfId="0" applyFont="1" applyFill="1" applyBorder="1" applyProtection="1">
      <protection hidden="1"/>
    </xf>
    <xf numFmtId="0" fontId="16" fillId="8" borderId="5" xfId="0" applyFont="1" applyFill="1" applyBorder="1" applyAlignment="1" applyProtection="1">
      <alignment horizontal="center"/>
      <protection hidden="1"/>
    </xf>
    <xf numFmtId="0" fontId="9" fillId="8" borderId="23" xfId="0" applyFont="1" applyFill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7" fillId="11" borderId="0" xfId="0" applyFont="1" applyFill="1" applyProtection="1">
      <protection hidden="1"/>
    </xf>
    <xf numFmtId="0" fontId="7" fillId="0" borderId="0" xfId="0" quotePrefix="1" applyFont="1" applyProtection="1">
      <protection hidden="1"/>
    </xf>
    <xf numFmtId="0" fontId="9" fillId="8" borderId="24" xfId="0" applyFont="1" applyFill="1" applyBorder="1" applyProtection="1">
      <protection hidden="1"/>
    </xf>
    <xf numFmtId="0" fontId="7" fillId="0" borderId="7" xfId="0" applyFont="1" applyBorder="1" applyProtection="1">
      <protection hidden="1"/>
    </xf>
    <xf numFmtId="44" fontId="25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17" xfId="0" applyFont="1" applyBorder="1" applyProtection="1">
      <protection hidden="1"/>
    </xf>
    <xf numFmtId="0" fontId="7" fillId="0" borderId="11" xfId="0" applyFont="1" applyBorder="1" applyProtection="1">
      <protection hidden="1"/>
    </xf>
    <xf numFmtId="0" fontId="17" fillId="0" borderId="0" xfId="0" applyFont="1" applyBorder="1" applyAlignment="1" applyProtection="1">
      <alignment horizontal="right"/>
      <protection hidden="1"/>
    </xf>
    <xf numFmtId="0" fontId="7" fillId="0" borderId="27" xfId="0" applyFont="1" applyBorder="1" applyProtection="1">
      <protection hidden="1"/>
    </xf>
    <xf numFmtId="0" fontId="7" fillId="0" borderId="28" xfId="0" applyFont="1" applyBorder="1" applyProtection="1">
      <protection hidden="1"/>
    </xf>
    <xf numFmtId="0" fontId="7" fillId="0" borderId="29" xfId="0" applyFont="1" applyBorder="1" applyProtection="1">
      <protection hidden="1"/>
    </xf>
    <xf numFmtId="0" fontId="8" fillId="0" borderId="0" xfId="0" applyFont="1" applyProtection="1">
      <protection hidden="1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5" borderId="21" xfId="0" applyFont="1" applyFill="1" applyBorder="1" applyProtection="1">
      <protection hidden="1"/>
    </xf>
    <xf numFmtId="44" fontId="7" fillId="0" borderId="22" xfId="0" applyNumberFormat="1" applyFont="1" applyBorder="1" applyProtection="1">
      <protection hidden="1"/>
    </xf>
    <xf numFmtId="43" fontId="7" fillId="0" borderId="0" xfId="0" applyNumberFormat="1" applyFont="1" applyBorder="1" applyProtection="1">
      <protection hidden="1"/>
    </xf>
    <xf numFmtId="43" fontId="7" fillId="0" borderId="22" xfId="0" applyNumberFormat="1" applyFont="1" applyBorder="1" applyProtection="1">
      <protection hidden="1"/>
    </xf>
    <xf numFmtId="0" fontId="7" fillId="0" borderId="21" xfId="0" applyFont="1" applyBorder="1" applyAlignment="1" applyProtection="1">
      <alignment horizontal="right"/>
      <protection hidden="1"/>
    </xf>
    <xf numFmtId="2" fontId="8" fillId="4" borderId="0" xfId="0" applyNumberFormat="1" applyFont="1" applyFill="1" applyBorder="1" applyProtection="1">
      <protection hidden="1"/>
    </xf>
    <xf numFmtId="0" fontId="7" fillId="0" borderId="0" xfId="0" applyFont="1" applyBorder="1" applyAlignment="1" applyProtection="1">
      <alignment horizontal="right"/>
      <protection hidden="1"/>
    </xf>
    <xf numFmtId="43" fontId="7" fillId="5" borderId="5" xfId="0" applyNumberFormat="1" applyFont="1" applyFill="1" applyBorder="1" applyProtection="1">
      <protection hidden="1"/>
    </xf>
    <xf numFmtId="43" fontId="7" fillId="5" borderId="23" xfId="0" applyNumberFormat="1" applyFont="1" applyFill="1" applyBorder="1" applyProtection="1">
      <protection hidden="1"/>
    </xf>
    <xf numFmtId="2" fontId="8" fillId="4" borderId="0" xfId="0" applyNumberFormat="1" applyFont="1" applyFill="1" applyBorder="1" applyAlignment="1" applyProtection="1">
      <alignment horizontal="right"/>
      <protection hidden="1"/>
    </xf>
    <xf numFmtId="0" fontId="8" fillId="11" borderId="30" xfId="0" applyFont="1" applyFill="1" applyBorder="1" applyAlignment="1" applyProtection="1">
      <alignment horizontal="center"/>
      <protection hidden="1"/>
    </xf>
    <xf numFmtId="0" fontId="8" fillId="11" borderId="32" xfId="0" applyFont="1" applyFill="1" applyBorder="1" applyAlignment="1" applyProtection="1">
      <alignment horizontal="center"/>
      <protection hidden="1"/>
    </xf>
    <xf numFmtId="0" fontId="8" fillId="12" borderId="33" xfId="0" applyFont="1" applyFill="1" applyBorder="1" applyAlignment="1" applyProtection="1">
      <alignment horizontal="center"/>
      <protection hidden="1"/>
    </xf>
    <xf numFmtId="0" fontId="7" fillId="13" borderId="0" xfId="0" applyFont="1" applyFill="1" applyProtection="1">
      <protection hidden="1"/>
    </xf>
    <xf numFmtId="0" fontId="8" fillId="12" borderId="34" xfId="0" applyFont="1" applyFill="1" applyBorder="1" applyAlignment="1" applyProtection="1">
      <alignment horizontal="center"/>
      <protection hidden="1"/>
    </xf>
    <xf numFmtId="2" fontId="8" fillId="10" borderId="0" xfId="0" applyNumberFormat="1" applyFont="1" applyFill="1" applyAlignment="1" applyProtection="1">
      <alignment horizontal="center"/>
      <protection hidden="1"/>
    </xf>
    <xf numFmtId="2" fontId="8" fillId="12" borderId="5" xfId="0" applyNumberFormat="1" applyFont="1" applyFill="1" applyBorder="1" applyAlignment="1" applyProtection="1">
      <alignment horizontal="center"/>
      <protection hidden="1"/>
    </xf>
    <xf numFmtId="0" fontId="7" fillId="0" borderId="6" xfId="0" applyFont="1" applyBorder="1" applyProtection="1">
      <protection hidden="1"/>
    </xf>
    <xf numFmtId="0" fontId="7" fillId="0" borderId="16" xfId="0" applyFont="1" applyBorder="1" applyProtection="1">
      <protection hidden="1"/>
    </xf>
    <xf numFmtId="0" fontId="7" fillId="0" borderId="33" xfId="0" applyFont="1" applyBorder="1" applyProtection="1">
      <protection hidden="1"/>
    </xf>
    <xf numFmtId="0" fontId="7" fillId="11" borderId="0" xfId="0" applyFont="1" applyFill="1" applyBorder="1" applyProtection="1">
      <protection hidden="1"/>
    </xf>
    <xf numFmtId="2" fontId="7" fillId="0" borderId="0" xfId="0" applyNumberFormat="1" applyFont="1" applyBorder="1" applyProtection="1">
      <protection hidden="1"/>
    </xf>
    <xf numFmtId="2" fontId="7" fillId="0" borderId="9" xfId="0" applyNumberFormat="1" applyFont="1" applyBorder="1" applyProtection="1">
      <protection hidden="1"/>
    </xf>
    <xf numFmtId="2" fontId="7" fillId="0" borderId="6" xfId="0" applyNumberFormat="1" applyFont="1" applyBorder="1" applyProtection="1">
      <protection hidden="1"/>
    </xf>
    <xf numFmtId="2" fontId="8" fillId="0" borderId="6" xfId="0" applyNumberFormat="1" applyFont="1" applyBorder="1" applyAlignment="1" applyProtection="1">
      <alignment horizontal="center"/>
      <protection hidden="1"/>
    </xf>
    <xf numFmtId="0" fontId="7" fillId="0" borderId="30" xfId="0" applyFont="1" applyFill="1" applyBorder="1" applyProtection="1">
      <protection hidden="1"/>
    </xf>
    <xf numFmtId="0" fontId="7" fillId="0" borderId="32" xfId="0" applyFont="1" applyFill="1" applyBorder="1" applyProtection="1">
      <protection hidden="1"/>
    </xf>
    <xf numFmtId="0" fontId="7" fillId="0" borderId="35" xfId="0" applyFont="1" applyBorder="1" applyProtection="1">
      <protection hidden="1"/>
    </xf>
    <xf numFmtId="2" fontId="7" fillId="0" borderId="8" xfId="0" applyNumberFormat="1" applyFont="1" applyBorder="1" applyProtection="1">
      <protection hidden="1"/>
    </xf>
    <xf numFmtId="2" fontId="8" fillId="0" borderId="8" xfId="0" applyNumberFormat="1" applyFont="1" applyBorder="1" applyAlignment="1" applyProtection="1">
      <alignment horizontal="center"/>
      <protection hidden="1"/>
    </xf>
    <xf numFmtId="0" fontId="7" fillId="0" borderId="0" xfId="0" applyFont="1" applyFill="1" applyProtection="1">
      <protection hidden="1"/>
    </xf>
    <xf numFmtId="0" fontId="7" fillId="8" borderId="0" xfId="0" applyFont="1" applyFill="1" applyBorder="1" applyAlignment="1" applyProtection="1">
      <alignment horizontal="center"/>
      <protection hidden="1"/>
    </xf>
    <xf numFmtId="0" fontId="7" fillId="0" borderId="34" xfId="0" applyFont="1" applyBorder="1" applyProtection="1">
      <protection hidden="1"/>
    </xf>
    <xf numFmtId="0" fontId="7" fillId="11" borderId="17" xfId="0" applyFont="1" applyFill="1" applyBorder="1" applyProtection="1">
      <protection hidden="1"/>
    </xf>
    <xf numFmtId="2" fontId="7" fillId="0" borderId="17" xfId="0" applyNumberFormat="1" applyFont="1" applyBorder="1" applyProtection="1">
      <protection hidden="1"/>
    </xf>
    <xf numFmtId="2" fontId="7" fillId="0" borderId="11" xfId="0" applyNumberFormat="1" applyFont="1" applyBorder="1" applyProtection="1">
      <protection hidden="1"/>
    </xf>
    <xf numFmtId="2" fontId="7" fillId="0" borderId="10" xfId="0" applyNumberFormat="1" applyFont="1" applyBorder="1" applyProtection="1">
      <protection hidden="1"/>
    </xf>
    <xf numFmtId="2" fontId="8" fillId="0" borderId="10" xfId="0" applyNumberFormat="1" applyFont="1" applyBorder="1" applyAlignment="1" applyProtection="1">
      <alignment horizontal="center"/>
      <protection hidden="1"/>
    </xf>
    <xf numFmtId="0" fontId="7" fillId="0" borderId="16" xfId="0" applyFont="1" applyFill="1" applyBorder="1" applyProtection="1">
      <protection hidden="1"/>
    </xf>
    <xf numFmtId="2" fontId="7" fillId="0" borderId="16" xfId="0" applyNumberFormat="1" applyFont="1" applyBorder="1" applyProtection="1">
      <protection hidden="1"/>
    </xf>
    <xf numFmtId="2" fontId="7" fillId="0" borderId="7" xfId="0" applyNumberFormat="1" applyFont="1" applyBorder="1" applyProtection="1">
      <protection hidden="1"/>
    </xf>
    <xf numFmtId="0" fontId="7" fillId="5" borderId="0" xfId="0" applyFont="1" applyFill="1" applyBorder="1" applyAlignment="1" applyProtection="1">
      <alignment horizontal="center"/>
      <protection hidden="1"/>
    </xf>
    <xf numFmtId="0" fontId="7" fillId="0" borderId="17" xfId="0" applyFont="1" applyFill="1" applyBorder="1" applyProtection="1">
      <protection hidden="1"/>
    </xf>
    <xf numFmtId="0" fontId="7" fillId="0" borderId="0" xfId="0" applyFont="1" applyAlignment="1" applyProtection="1">
      <alignment vertical="top" wrapText="1"/>
      <protection hidden="1"/>
    </xf>
    <xf numFmtId="14" fontId="7" fillId="0" borderId="0" xfId="0" applyNumberFormat="1" applyFont="1" applyAlignment="1" applyProtection="1">
      <alignment vertical="top" wrapText="1"/>
      <protection hidden="1"/>
    </xf>
    <xf numFmtId="0" fontId="7" fillId="0" borderId="0" xfId="0" applyFont="1" applyBorder="1" applyAlignment="1" applyProtection="1">
      <alignment vertical="top" wrapText="1"/>
    </xf>
    <xf numFmtId="164" fontId="10" fillId="0" borderId="0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right" vertical="top" wrapText="1"/>
    </xf>
    <xf numFmtId="0" fontId="7" fillId="7" borderId="5" xfId="0" applyFont="1" applyFill="1" applyBorder="1" applyAlignment="1" applyProtection="1">
      <alignment horizontal="center"/>
      <protection locked="0"/>
    </xf>
    <xf numFmtId="0" fontId="7" fillId="5" borderId="6" xfId="0" applyFont="1" applyFill="1" applyBorder="1" applyAlignment="1" applyProtection="1">
      <alignment horizontal="center" vertical="center"/>
    </xf>
    <xf numFmtId="0" fontId="7" fillId="5" borderId="16" xfId="0" applyFont="1" applyFill="1" applyBorder="1" applyAlignment="1" applyProtection="1">
      <alignment horizontal="center" vertical="center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7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2" fontId="7" fillId="7" borderId="6" xfId="0" applyNumberFormat="1" applyFont="1" applyFill="1" applyBorder="1" applyAlignment="1" applyProtection="1">
      <alignment horizontal="center" vertical="center"/>
      <protection locked="0"/>
    </xf>
    <xf numFmtId="2" fontId="7" fillId="7" borderId="16" xfId="0" applyNumberFormat="1" applyFont="1" applyFill="1" applyBorder="1" applyAlignment="1" applyProtection="1">
      <alignment horizontal="center" vertical="center"/>
      <protection locked="0"/>
    </xf>
    <xf numFmtId="2" fontId="7" fillId="7" borderId="7" xfId="0" applyNumberFormat="1" applyFont="1" applyFill="1" applyBorder="1" applyAlignment="1" applyProtection="1">
      <alignment horizontal="center" vertical="center"/>
      <protection locked="0"/>
    </xf>
    <xf numFmtId="2" fontId="7" fillId="7" borderId="10" xfId="0" applyNumberFormat="1" applyFont="1" applyFill="1" applyBorder="1" applyAlignment="1" applyProtection="1">
      <alignment horizontal="center" vertical="center"/>
      <protection locked="0"/>
    </xf>
    <xf numFmtId="2" fontId="7" fillId="7" borderId="17" xfId="0" applyNumberFormat="1" applyFont="1" applyFill="1" applyBorder="1" applyAlignment="1" applyProtection="1">
      <alignment horizontal="center" vertical="center"/>
      <protection locked="0"/>
    </xf>
    <xf numFmtId="2" fontId="7" fillId="7" borderId="11" xfId="0" applyNumberFormat="1" applyFont="1" applyFill="1" applyBorder="1" applyAlignment="1" applyProtection="1">
      <alignment horizontal="center" vertical="center"/>
      <protection locked="0"/>
    </xf>
    <xf numFmtId="2" fontId="13" fillId="0" borderId="8" xfId="0" applyNumberFormat="1" applyFont="1" applyFill="1" applyBorder="1" applyAlignment="1" applyProtection="1">
      <alignment horizontal="center" vertical="center"/>
    </xf>
    <xf numFmtId="2" fontId="13" fillId="0" borderId="9" xfId="0" applyNumberFormat="1" applyFont="1" applyFill="1" applyBorder="1" applyAlignment="1" applyProtection="1">
      <alignment horizontal="center" vertical="center"/>
    </xf>
    <xf numFmtId="2" fontId="7" fillId="5" borderId="6" xfId="0" applyNumberFormat="1" applyFont="1" applyFill="1" applyBorder="1" applyAlignment="1" applyProtection="1">
      <alignment horizontal="center" vertical="center"/>
    </xf>
    <xf numFmtId="2" fontId="7" fillId="5" borderId="16" xfId="0" applyNumberFormat="1" applyFont="1" applyFill="1" applyBorder="1" applyAlignment="1" applyProtection="1">
      <alignment horizontal="center" vertical="center"/>
    </xf>
    <xf numFmtId="2" fontId="7" fillId="5" borderId="7" xfId="0" applyNumberFormat="1" applyFont="1" applyFill="1" applyBorder="1" applyAlignment="1" applyProtection="1">
      <alignment horizontal="center" vertical="center"/>
    </xf>
    <xf numFmtId="2" fontId="7" fillId="5" borderId="10" xfId="0" applyNumberFormat="1" applyFont="1" applyFill="1" applyBorder="1" applyAlignment="1" applyProtection="1">
      <alignment horizontal="center" vertical="center"/>
    </xf>
    <xf numFmtId="2" fontId="7" fillId="5" borderId="17" xfId="0" applyNumberFormat="1" applyFont="1" applyFill="1" applyBorder="1" applyAlignment="1" applyProtection="1">
      <alignment horizontal="center" vertical="center"/>
    </xf>
    <xf numFmtId="2" fontId="7" fillId="5" borderId="11" xfId="0" applyNumberFormat="1" applyFont="1" applyFill="1" applyBorder="1" applyAlignment="1" applyProtection="1">
      <alignment horizontal="center" vertical="center"/>
    </xf>
    <xf numFmtId="2" fontId="9" fillId="5" borderId="6" xfId="0" applyNumberFormat="1" applyFont="1" applyFill="1" applyBorder="1" applyAlignment="1" applyProtection="1">
      <alignment horizontal="center" vertical="center"/>
    </xf>
    <xf numFmtId="2" fontId="9" fillId="5" borderId="16" xfId="0" applyNumberFormat="1" applyFont="1" applyFill="1" applyBorder="1" applyAlignment="1" applyProtection="1">
      <alignment horizontal="center" vertical="center"/>
    </xf>
    <xf numFmtId="2" fontId="9" fillId="5" borderId="7" xfId="0" applyNumberFormat="1" applyFont="1" applyFill="1" applyBorder="1" applyAlignment="1" applyProtection="1">
      <alignment horizontal="center" vertical="center"/>
    </xf>
    <xf numFmtId="2" fontId="9" fillId="5" borderId="10" xfId="0" applyNumberFormat="1" applyFont="1" applyFill="1" applyBorder="1" applyAlignment="1" applyProtection="1">
      <alignment horizontal="center" vertical="center"/>
    </xf>
    <xf numFmtId="2" fontId="9" fillId="5" borderId="17" xfId="0" applyNumberFormat="1" applyFont="1" applyFill="1" applyBorder="1" applyAlignment="1" applyProtection="1">
      <alignment horizontal="center" vertical="center"/>
    </xf>
    <xf numFmtId="2" fontId="9" fillId="5" borderId="11" xfId="0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center" vertical="center"/>
    </xf>
    <xf numFmtId="0" fontId="7" fillId="5" borderId="9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7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16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7" borderId="30" xfId="0" applyFont="1" applyFill="1" applyBorder="1" applyAlignment="1" applyProtection="1">
      <alignment horizontal="center" vertical="center"/>
      <protection locked="0"/>
    </xf>
    <xf numFmtId="0" fontId="8" fillId="7" borderId="31" xfId="0" applyFont="1" applyFill="1" applyBorder="1" applyAlignment="1" applyProtection="1">
      <alignment horizontal="center" vertical="center"/>
      <protection locked="0"/>
    </xf>
    <xf numFmtId="0" fontId="8" fillId="7" borderId="3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/>
      <protection hidden="1"/>
    </xf>
    <xf numFmtId="0" fontId="7" fillId="0" borderId="31" xfId="0" applyFont="1" applyBorder="1" applyAlignment="1" applyProtection="1">
      <alignment horizontal="center"/>
      <protection hidden="1"/>
    </xf>
    <xf numFmtId="0" fontId="7" fillId="0" borderId="32" xfId="0" applyFont="1" applyBorder="1" applyAlignment="1" applyProtection="1">
      <alignment horizontal="center"/>
      <protection hidden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left" vertical="top" wrapText="1"/>
      <protection hidden="1"/>
    </xf>
    <xf numFmtId="0" fontId="7" fillId="0" borderId="0" xfId="0" applyFont="1" applyBorder="1" applyAlignment="1" applyProtection="1">
      <alignment horizontal="left" vertical="top" wrapText="1"/>
      <protection hidden="1"/>
    </xf>
    <xf numFmtId="0" fontId="7" fillId="0" borderId="9" xfId="0" applyFont="1" applyBorder="1" applyAlignment="1" applyProtection="1">
      <alignment horizontal="left" vertical="top" wrapText="1"/>
      <protection hidden="1"/>
    </xf>
    <xf numFmtId="0" fontId="7" fillId="0" borderId="10" xfId="0" applyFont="1" applyBorder="1" applyAlignment="1" applyProtection="1">
      <alignment horizontal="left" vertical="top" wrapText="1"/>
      <protection hidden="1"/>
    </xf>
    <xf numFmtId="0" fontId="7" fillId="0" borderId="17" xfId="0" applyFont="1" applyBorder="1" applyAlignment="1" applyProtection="1">
      <alignment horizontal="left" vertical="top" wrapText="1"/>
      <protection hidden="1"/>
    </xf>
    <xf numFmtId="0" fontId="7" fillId="0" borderId="11" xfId="0" applyFont="1" applyBorder="1" applyAlignment="1" applyProtection="1">
      <alignment horizontal="left" vertical="top" wrapText="1"/>
      <protection hidden="1"/>
    </xf>
    <xf numFmtId="2" fontId="7" fillId="5" borderId="6" xfId="0" applyNumberFormat="1" applyFont="1" applyFill="1" applyBorder="1" applyAlignment="1" applyProtection="1">
      <alignment horizontal="center" vertical="center"/>
      <protection hidden="1"/>
    </xf>
    <xf numFmtId="0" fontId="7" fillId="5" borderId="16" xfId="0" applyFont="1" applyFill="1" applyBorder="1" applyAlignment="1" applyProtection="1">
      <alignment horizontal="center" vertical="center"/>
      <protection hidden="1"/>
    </xf>
    <xf numFmtId="0" fontId="7" fillId="5" borderId="7" xfId="0" applyFont="1" applyFill="1" applyBorder="1" applyAlignment="1" applyProtection="1">
      <alignment horizontal="center" vertical="center"/>
      <protection hidden="1"/>
    </xf>
    <xf numFmtId="0" fontId="7" fillId="5" borderId="10" xfId="0" applyFont="1" applyFill="1" applyBorder="1" applyAlignment="1" applyProtection="1">
      <alignment horizontal="center" vertical="center"/>
      <protection hidden="1"/>
    </xf>
    <xf numFmtId="0" fontId="7" fillId="5" borderId="17" xfId="0" applyFont="1" applyFill="1" applyBorder="1" applyAlignment="1" applyProtection="1">
      <alignment horizontal="center" vertical="center"/>
      <protection hidden="1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 wrapText="1"/>
      <protection hidden="1"/>
    </xf>
    <xf numFmtId="2" fontId="9" fillId="7" borderId="6" xfId="0" applyNumberFormat="1" applyFont="1" applyFill="1" applyBorder="1" applyAlignment="1" applyProtection="1">
      <alignment horizontal="center" vertical="center"/>
      <protection locked="0"/>
    </xf>
    <xf numFmtId="2" fontId="9" fillId="7" borderId="16" xfId="0" applyNumberFormat="1" applyFont="1" applyFill="1" applyBorder="1" applyAlignment="1" applyProtection="1">
      <alignment horizontal="center" vertical="center"/>
      <protection locked="0"/>
    </xf>
    <xf numFmtId="2" fontId="9" fillId="7" borderId="7" xfId="0" applyNumberFormat="1" applyFont="1" applyFill="1" applyBorder="1" applyAlignment="1" applyProtection="1">
      <alignment horizontal="center" vertical="center"/>
      <protection locked="0"/>
    </xf>
    <xf numFmtId="2" fontId="9" fillId="7" borderId="10" xfId="0" applyNumberFormat="1" applyFont="1" applyFill="1" applyBorder="1" applyAlignment="1" applyProtection="1">
      <alignment horizontal="center" vertical="center"/>
      <protection locked="0"/>
    </xf>
    <xf numFmtId="2" fontId="9" fillId="7" borderId="17" xfId="0" applyNumberFormat="1" applyFont="1" applyFill="1" applyBorder="1" applyAlignment="1" applyProtection="1">
      <alignment horizontal="center" vertical="center"/>
      <protection locked="0"/>
    </xf>
    <xf numFmtId="2" fontId="9" fillId="7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/>
    </xf>
    <xf numFmtId="2" fontId="12" fillId="5" borderId="6" xfId="0" applyNumberFormat="1" applyFont="1" applyFill="1" applyBorder="1" applyAlignment="1" applyProtection="1">
      <alignment horizontal="center" vertical="center"/>
    </xf>
    <xf numFmtId="0" fontId="12" fillId="5" borderId="16" xfId="0" applyFont="1" applyFill="1" applyBorder="1" applyAlignment="1" applyProtection="1">
      <alignment horizontal="center" vertical="center"/>
    </xf>
    <xf numFmtId="0" fontId="12" fillId="5" borderId="7" xfId="0" applyFont="1" applyFill="1" applyBorder="1" applyAlignment="1" applyProtection="1">
      <alignment horizontal="center" vertical="center"/>
    </xf>
    <xf numFmtId="0" fontId="12" fillId="5" borderId="10" xfId="0" applyFont="1" applyFill="1" applyBorder="1" applyAlignment="1" applyProtection="1">
      <alignment horizontal="center" vertical="center"/>
    </xf>
    <xf numFmtId="0" fontId="12" fillId="5" borderId="17" xfId="0" applyFont="1" applyFill="1" applyBorder="1" applyAlignment="1" applyProtection="1">
      <alignment horizontal="center" vertical="center"/>
    </xf>
    <xf numFmtId="0" fontId="12" fillId="5" borderId="11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  <protection hidden="1"/>
    </xf>
    <xf numFmtId="0" fontId="8" fillId="0" borderId="16" xfId="0" applyFont="1" applyFill="1" applyBorder="1" applyAlignment="1" applyProtection="1">
      <alignment horizontal="center" vertical="center"/>
      <protection hidden="1"/>
    </xf>
    <xf numFmtId="0" fontId="8" fillId="0" borderId="8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2" fontId="12" fillId="5" borderId="16" xfId="0" applyNumberFormat="1" applyFont="1" applyFill="1" applyBorder="1" applyAlignment="1" applyProtection="1">
      <alignment horizontal="center" vertical="center"/>
    </xf>
    <xf numFmtId="2" fontId="12" fillId="5" borderId="7" xfId="0" applyNumberFormat="1" applyFont="1" applyFill="1" applyBorder="1" applyAlignment="1" applyProtection="1">
      <alignment horizontal="center" vertical="center"/>
    </xf>
    <xf numFmtId="2" fontId="12" fillId="5" borderId="10" xfId="0" applyNumberFormat="1" applyFont="1" applyFill="1" applyBorder="1" applyAlignment="1" applyProtection="1">
      <alignment horizontal="center" vertical="center"/>
    </xf>
    <xf numFmtId="2" fontId="12" fillId="5" borderId="17" xfId="0" applyNumberFormat="1" applyFont="1" applyFill="1" applyBorder="1" applyAlignment="1" applyProtection="1">
      <alignment horizontal="center" vertical="center"/>
    </xf>
    <xf numFmtId="2" fontId="12" fillId="5" borderId="11" xfId="0" applyNumberFormat="1" applyFont="1" applyFill="1" applyBorder="1" applyAlignment="1" applyProtection="1">
      <alignment horizontal="center" vertical="center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6" xfId="0" applyFont="1" applyBorder="1" applyAlignment="1" applyProtection="1">
      <alignment horizontal="center"/>
      <protection hidden="1"/>
    </xf>
    <xf numFmtId="43" fontId="8" fillId="5" borderId="6" xfId="0" applyNumberFormat="1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</xf>
    <xf numFmtId="0" fontId="8" fillId="5" borderId="7" xfId="0" applyFont="1" applyFill="1" applyBorder="1" applyAlignment="1" applyProtection="1">
      <alignment horizontal="center" vertical="center"/>
    </xf>
    <xf numFmtId="0" fontId="8" fillId="5" borderId="10" xfId="0" applyFont="1" applyFill="1" applyBorder="1" applyAlignment="1" applyProtection="1">
      <alignment horizontal="center" vertical="center"/>
    </xf>
    <xf numFmtId="0" fontId="8" fillId="5" borderId="17" xfId="0" applyFont="1" applyFill="1" applyBorder="1" applyAlignment="1" applyProtection="1">
      <alignment horizontal="center" vertical="center"/>
    </xf>
    <xf numFmtId="0" fontId="8" fillId="5" borderId="11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 wrapText="1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7" borderId="7" xfId="0" applyFont="1" applyFill="1" applyBorder="1" applyAlignment="1" applyProtection="1">
      <alignment horizontal="center" vertical="center"/>
      <protection locked="0"/>
    </xf>
    <xf numFmtId="0" fontId="7" fillId="7" borderId="10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  <protection hidden="1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43" fontId="8" fillId="5" borderId="6" xfId="0" applyNumberFormat="1" applyFont="1" applyFill="1" applyBorder="1" applyAlignment="1" applyProtection="1">
      <alignment vertical="center"/>
    </xf>
    <xf numFmtId="0" fontId="8" fillId="5" borderId="16" xfId="0" applyFont="1" applyFill="1" applyBorder="1" applyAlignment="1" applyProtection="1">
      <alignment vertical="center"/>
    </xf>
    <xf numFmtId="0" fontId="8" fillId="5" borderId="7" xfId="0" applyFont="1" applyFill="1" applyBorder="1" applyAlignment="1" applyProtection="1">
      <alignment vertical="center"/>
    </xf>
    <xf numFmtId="0" fontId="8" fillId="5" borderId="10" xfId="0" applyFont="1" applyFill="1" applyBorder="1" applyAlignment="1" applyProtection="1">
      <alignment vertical="center"/>
    </xf>
    <xf numFmtId="0" fontId="8" fillId="5" borderId="17" xfId="0" applyFont="1" applyFill="1" applyBorder="1" applyAlignment="1" applyProtection="1">
      <alignment vertical="center"/>
    </xf>
    <xf numFmtId="0" fontId="8" fillId="5" borderId="11" xfId="0" applyFont="1" applyFill="1" applyBorder="1" applyAlignment="1" applyProtection="1">
      <alignment vertical="center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right" vertical="center" wrapText="1"/>
    </xf>
    <xf numFmtId="0" fontId="9" fillId="0" borderId="16" xfId="0" applyFont="1" applyBorder="1" applyAlignment="1" applyProtection="1">
      <alignment horizontal="right" vertical="center" wrapText="1"/>
    </xf>
    <xf numFmtId="0" fontId="9" fillId="0" borderId="7" xfId="0" applyFont="1" applyBorder="1" applyAlignment="1" applyProtection="1">
      <alignment horizontal="right" vertical="center" wrapText="1"/>
    </xf>
    <xf numFmtId="0" fontId="9" fillId="0" borderId="10" xfId="0" applyFont="1" applyBorder="1" applyAlignment="1" applyProtection="1">
      <alignment horizontal="right" vertical="center" wrapText="1"/>
    </xf>
    <xf numFmtId="0" fontId="9" fillId="0" borderId="17" xfId="0" applyFont="1" applyBorder="1" applyAlignment="1" applyProtection="1">
      <alignment horizontal="right" vertical="center" wrapText="1"/>
    </xf>
    <xf numFmtId="0" fontId="9" fillId="0" borderId="11" xfId="0" applyFont="1" applyBorder="1" applyAlignment="1" applyProtection="1">
      <alignment horizontal="right" vertical="center" wrapText="1"/>
    </xf>
    <xf numFmtId="43" fontId="7" fillId="5" borderId="5" xfId="0" applyNumberFormat="1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43" fontId="7" fillId="5" borderId="6" xfId="0" applyNumberFormat="1" applyFont="1" applyFill="1" applyBorder="1" applyAlignment="1" applyProtection="1">
      <alignment horizontal="center" vertical="center"/>
    </xf>
    <xf numFmtId="43" fontId="7" fillId="5" borderId="16" xfId="0" applyNumberFormat="1" applyFont="1" applyFill="1" applyBorder="1" applyAlignment="1" applyProtection="1">
      <alignment horizontal="center" vertical="center"/>
    </xf>
    <xf numFmtId="43" fontId="7" fillId="5" borderId="7" xfId="0" applyNumberFormat="1" applyFont="1" applyFill="1" applyBorder="1" applyAlignment="1" applyProtection="1">
      <alignment horizontal="center" vertical="center"/>
    </xf>
    <xf numFmtId="43" fontId="7" fillId="5" borderId="10" xfId="0" applyNumberFormat="1" applyFont="1" applyFill="1" applyBorder="1" applyAlignment="1" applyProtection="1">
      <alignment horizontal="center" vertical="center"/>
    </xf>
    <xf numFmtId="43" fontId="7" fillId="5" borderId="17" xfId="0" applyNumberFormat="1" applyFont="1" applyFill="1" applyBorder="1" applyAlignment="1" applyProtection="1">
      <alignment horizontal="center" vertical="center"/>
    </xf>
    <xf numFmtId="43" fontId="7" fillId="5" borderId="11" xfId="0" applyNumberFormat="1" applyFont="1" applyFill="1" applyBorder="1" applyAlignment="1" applyProtection="1">
      <alignment horizontal="center" vertical="center"/>
    </xf>
    <xf numFmtId="0" fontId="21" fillId="10" borderId="0" xfId="0" applyFont="1" applyFill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justify" vertical="center" wrapText="1"/>
    </xf>
    <xf numFmtId="9" fontId="10" fillId="0" borderId="0" xfId="0" applyNumberFormat="1" applyFont="1" applyAlignment="1" applyProtection="1">
      <alignment horizontal="center"/>
    </xf>
    <xf numFmtId="164" fontId="7" fillId="0" borderId="0" xfId="0" applyNumberFormat="1" applyFont="1" applyAlignment="1" applyProtection="1">
      <alignment horizontal="right" vertical="top"/>
    </xf>
    <xf numFmtId="0" fontId="7" fillId="0" borderId="0" xfId="0" applyFont="1" applyBorder="1" applyAlignment="1" applyProtection="1">
      <alignment horizontal="center" vertical="top"/>
    </xf>
    <xf numFmtId="0" fontId="7" fillId="0" borderId="17" xfId="0" applyFont="1" applyBorder="1" applyAlignment="1" applyProtection="1">
      <alignment horizontal="center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 applyAlignment="1" applyProtection="1">
      <alignment horizontal="justify" vertical="top" wrapText="1"/>
    </xf>
    <xf numFmtId="0" fontId="7" fillId="0" borderId="0" xfId="0" applyFont="1" applyAlignment="1" applyProtection="1">
      <alignment horizontal="right" vertical="center"/>
    </xf>
    <xf numFmtId="2" fontId="7" fillId="5" borderId="30" xfId="0" applyNumberFormat="1" applyFont="1" applyFill="1" applyBorder="1" applyAlignment="1" applyProtection="1">
      <alignment horizontal="center" vertical="center"/>
    </xf>
    <xf numFmtId="0" fontId="7" fillId="5" borderId="31" xfId="0" applyFont="1" applyFill="1" applyBorder="1" applyAlignment="1" applyProtection="1">
      <alignment horizontal="center" vertical="center"/>
    </xf>
    <xf numFmtId="0" fontId="7" fillId="5" borderId="32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 wrapText="1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7" fillId="13" borderId="30" xfId="0" applyFont="1" applyFill="1" applyBorder="1" applyAlignment="1" applyProtection="1">
      <alignment horizontal="right" vertical="center"/>
    </xf>
    <xf numFmtId="0" fontId="7" fillId="13" borderId="31" xfId="0" applyFont="1" applyFill="1" applyBorder="1" applyAlignment="1" applyProtection="1">
      <alignment horizontal="right" vertical="center"/>
    </xf>
    <xf numFmtId="0" fontId="7" fillId="13" borderId="32" xfId="0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/>
    </xf>
    <xf numFmtId="44" fontId="7" fillId="3" borderId="0" xfId="1" applyFont="1" applyFill="1" applyAlignment="1" applyProtection="1">
      <alignment horizontal="center" vertical="center"/>
    </xf>
    <xf numFmtId="14" fontId="7" fillId="0" borderId="0" xfId="0" applyNumberFormat="1" applyFont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center"/>
    </xf>
    <xf numFmtId="164" fontId="7" fillId="0" borderId="0" xfId="0" applyNumberFormat="1" applyFont="1" applyAlignment="1" applyProtection="1">
      <alignment horizontal="left"/>
    </xf>
    <xf numFmtId="0" fontId="7" fillId="0" borderId="0" xfId="0" applyFont="1" applyAlignment="1" applyProtection="1">
      <alignment horizontal="justify" vertical="top" wrapText="1"/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0" borderId="0" xfId="0" applyFont="1" applyBorder="1" applyAlignment="1" applyProtection="1">
      <alignment horizontal="center" vertical="top" wrapText="1"/>
    </xf>
    <xf numFmtId="0" fontId="24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</cellXfs>
  <cellStyles count="4">
    <cellStyle name="Migliaia" xfId="2" builtinId="3"/>
    <cellStyle name="Normale" xfId="0" builtinId="0"/>
    <cellStyle name="Percentuale" xfId="3" builtinId="5"/>
    <cellStyle name="Valuta" xfId="1" builtinId="4"/>
  </cellStyles>
  <dxfs count="2">
    <dxf>
      <font>
        <b/>
        <i val="0"/>
      </font>
    </dxf>
    <dxf>
      <font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29"/>
  <sheetViews>
    <sheetView tabSelected="1" workbookViewId="0">
      <selection activeCell="G7" sqref="G7:R7"/>
    </sheetView>
  </sheetViews>
  <sheetFormatPr defaultRowHeight="12.75" x14ac:dyDescent="0.2"/>
  <cols>
    <col min="1" max="43" width="2" style="22" customWidth="1"/>
    <col min="44" max="44" width="37.85546875" style="86" hidden="1" customWidth="1"/>
    <col min="45" max="45" width="5.7109375" style="86" hidden="1" customWidth="1"/>
    <col min="46" max="53" width="6" style="86" hidden="1" customWidth="1"/>
    <col min="54" max="54" width="42.42578125" style="86" hidden="1" customWidth="1"/>
    <col min="55" max="57" width="9.140625" style="86" hidden="1" customWidth="1"/>
    <col min="58" max="58" width="9.5703125" style="86" hidden="1" customWidth="1"/>
    <col min="59" max="59" width="9.140625" style="86" hidden="1" customWidth="1"/>
    <col min="60" max="60" width="26.85546875" style="86" hidden="1" customWidth="1"/>
    <col min="61" max="61" width="9.140625" style="86" hidden="1" customWidth="1"/>
    <col min="62" max="62" width="26.85546875" style="86" hidden="1" customWidth="1"/>
    <col min="63" max="67" width="9.140625" style="86" hidden="1" customWidth="1"/>
    <col min="68" max="68" width="20.28515625" style="87" hidden="1" customWidth="1"/>
    <col min="69" max="69" width="9.140625" style="87" hidden="1" customWidth="1"/>
    <col min="70" max="70" width="11.140625" style="87" hidden="1" customWidth="1"/>
    <col min="71" max="72" width="9.140625" style="86" hidden="1" customWidth="1"/>
    <col min="73" max="78" width="9.140625" style="88" hidden="1" customWidth="1"/>
    <col min="79" max="79" width="10.42578125" style="86" hidden="1" customWidth="1"/>
    <col min="80" max="80" width="15.5703125" style="89" hidden="1" customWidth="1"/>
    <col min="81" max="81" width="8.85546875" style="89" hidden="1" customWidth="1"/>
    <col min="82" max="83" width="9.140625" style="88" hidden="1" customWidth="1"/>
    <col min="84" max="86" width="0" style="88" hidden="1" customWidth="1"/>
    <col min="87" max="88" width="9.140625" style="88"/>
    <col min="89" max="16384" width="9.140625" style="24"/>
  </cols>
  <sheetData>
    <row r="1" spans="6:81" ht="10.5" customHeight="1" x14ac:dyDescent="0.2">
      <c r="F1" s="29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U1" s="275" t="s">
        <v>234</v>
      </c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7"/>
      <c r="AS1" s="256" t="s">
        <v>90</v>
      </c>
      <c r="AT1" s="257"/>
      <c r="AU1" s="257"/>
      <c r="AV1" s="257"/>
      <c r="AW1" s="257"/>
      <c r="AX1" s="257"/>
      <c r="AY1" s="257"/>
      <c r="AZ1" s="257"/>
      <c r="BA1" s="258"/>
    </row>
    <row r="2" spans="6:81" ht="10.5" hidden="1" customHeight="1" x14ac:dyDescent="0.2">
      <c r="F2" s="29"/>
      <c r="G2" s="39" t="s">
        <v>7</v>
      </c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  <c r="U2" s="278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80"/>
      <c r="AS2" s="259"/>
      <c r="AT2" s="260"/>
      <c r="AU2" s="260"/>
      <c r="AV2" s="260"/>
      <c r="AW2" s="260"/>
      <c r="AX2" s="260"/>
      <c r="AY2" s="260"/>
      <c r="AZ2" s="260"/>
      <c r="BA2" s="261"/>
    </row>
    <row r="3" spans="6:81" ht="10.5" hidden="1" customHeight="1" x14ac:dyDescent="0.2">
      <c r="F3" s="29"/>
      <c r="G3" s="39" t="s">
        <v>8</v>
      </c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  <c r="U3" s="278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80"/>
      <c r="AS3" s="259"/>
      <c r="AT3" s="260"/>
      <c r="AU3" s="260"/>
      <c r="AV3" s="260"/>
      <c r="AW3" s="260"/>
      <c r="AX3" s="260"/>
      <c r="AY3" s="260"/>
      <c r="AZ3" s="260"/>
      <c r="BA3" s="261"/>
    </row>
    <row r="4" spans="6:81" ht="10.5" hidden="1" customHeight="1" x14ac:dyDescent="0.2">
      <c r="F4" s="29"/>
      <c r="G4" s="39" t="s">
        <v>9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  <c r="U4" s="278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80"/>
      <c r="AS4" s="259"/>
      <c r="AT4" s="260"/>
      <c r="AU4" s="260"/>
      <c r="AV4" s="260"/>
      <c r="AW4" s="260"/>
      <c r="AX4" s="260"/>
      <c r="AY4" s="260"/>
      <c r="AZ4" s="260"/>
      <c r="BA4" s="261"/>
    </row>
    <row r="5" spans="6:81" ht="10.5" hidden="1" customHeight="1" x14ac:dyDescent="0.2">
      <c r="F5" s="29"/>
      <c r="G5" s="39" t="s">
        <v>10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  <c r="U5" s="278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80"/>
      <c r="AS5" s="259"/>
      <c r="AT5" s="260"/>
      <c r="AU5" s="260"/>
      <c r="AV5" s="260"/>
      <c r="AW5" s="260"/>
      <c r="AX5" s="260"/>
      <c r="AY5" s="260"/>
      <c r="AZ5" s="260"/>
      <c r="BA5" s="261"/>
    </row>
    <row r="6" spans="6:81" ht="10.5" hidden="1" customHeight="1" x14ac:dyDescent="0.2">
      <c r="F6" s="29"/>
      <c r="G6" s="39" t="s">
        <v>11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1"/>
      <c r="U6" s="278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80"/>
      <c r="AS6" s="259"/>
      <c r="AT6" s="260"/>
      <c r="AU6" s="260"/>
      <c r="AV6" s="260"/>
      <c r="AW6" s="260"/>
      <c r="AX6" s="260"/>
      <c r="AY6" s="260"/>
      <c r="AZ6" s="260"/>
      <c r="BA6" s="261"/>
    </row>
    <row r="7" spans="6:81" ht="10.5" customHeight="1" x14ac:dyDescent="0.2">
      <c r="F7" s="29" t="s">
        <v>5</v>
      </c>
      <c r="G7" s="265" t="s">
        <v>7</v>
      </c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7"/>
      <c r="U7" s="278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80"/>
      <c r="AS7" s="262"/>
      <c r="AT7" s="263"/>
      <c r="AU7" s="263"/>
      <c r="AV7" s="263"/>
      <c r="AW7" s="263"/>
      <c r="AX7" s="263"/>
      <c r="AY7" s="263"/>
      <c r="AZ7" s="263"/>
      <c r="BA7" s="264"/>
      <c r="BC7" s="268" t="s">
        <v>91</v>
      </c>
      <c r="BD7" s="268"/>
      <c r="BE7" s="268"/>
      <c r="BF7" s="268"/>
      <c r="BH7" s="90" t="s">
        <v>92</v>
      </c>
      <c r="BI7" s="91" t="s">
        <v>93</v>
      </c>
      <c r="BJ7" s="92" t="s">
        <v>94</v>
      </c>
    </row>
    <row r="8" spans="6:81" ht="10.5" customHeight="1" x14ac:dyDescent="0.2">
      <c r="F8" s="29" t="s">
        <v>6</v>
      </c>
      <c r="G8" s="265" t="s">
        <v>17</v>
      </c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7"/>
      <c r="U8" s="278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80"/>
      <c r="AR8" s="93"/>
      <c r="BC8" s="268"/>
      <c r="BD8" s="268"/>
      <c r="BE8" s="268"/>
      <c r="BF8" s="268"/>
      <c r="BH8" s="94">
        <f>IF(AJ17&gt;=70,AJ17,IF(AJ17&lt;46,AJ17*120/100,AJ17*110/100))</f>
        <v>0</v>
      </c>
      <c r="BI8" s="95">
        <f>IF(AJ17&gt;=70,AJ17,IF(AJ17&lt;46,50.6,70))</f>
        <v>50.6</v>
      </c>
      <c r="BJ8" s="96">
        <f>IF(BH8&gt;BI8,BI8,BH8)</f>
        <v>0</v>
      </c>
      <c r="CB8" s="97">
        <f>MAXA(CB12:CB56)</f>
        <v>45639</v>
      </c>
    </row>
    <row r="9" spans="6:81" ht="10.5" customHeight="1" x14ac:dyDescent="0.2">
      <c r="F9" s="29"/>
      <c r="G9" s="269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1"/>
      <c r="U9" s="281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3"/>
      <c r="AY9" s="272" t="s">
        <v>96</v>
      </c>
      <c r="AZ9" s="273"/>
      <c r="BA9" s="274"/>
      <c r="BH9" s="98"/>
      <c r="BI9" s="99"/>
      <c r="BJ9" s="100"/>
      <c r="BL9" s="101" t="str">
        <f>UPPER(G7)</f>
        <v>TRENTO</v>
      </c>
      <c r="BM9" s="101">
        <f>IF(BD64="Prima",1,IF(BD64="Seconda",2,3))</f>
        <v>3</v>
      </c>
      <c r="BN9" s="101" t="str">
        <f>G8</f>
        <v>F</v>
      </c>
      <c r="BO9" s="102">
        <f>AJ48</f>
        <v>0</v>
      </c>
      <c r="BP9" s="101"/>
      <c r="BQ9" s="101"/>
      <c r="BR9" s="101"/>
      <c r="BS9" s="103"/>
      <c r="BT9" s="103"/>
    </row>
    <row r="10" spans="6:81" ht="10.5" customHeight="1" thickBot="1" x14ac:dyDescent="0.25"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S10" s="104">
        <v>0</v>
      </c>
      <c r="AT10" s="105" t="s">
        <v>80</v>
      </c>
      <c r="AU10" s="104">
        <v>0</v>
      </c>
      <c r="AV10" s="106" t="s">
        <v>98</v>
      </c>
      <c r="AW10" s="107">
        <f>AS10*AU10</f>
        <v>0</v>
      </c>
      <c r="AX10" s="88"/>
      <c r="BB10" s="86" t="str">
        <f>CONCATENATE("Zone ammesse: ",BB18," ",BB19," ",BB20," ",BB21," ",BB22," ",BB23)</f>
        <v>Zone ammesse: A B C D E F</v>
      </c>
      <c r="BH10" s="284" t="s">
        <v>99</v>
      </c>
      <c r="BI10" s="285"/>
      <c r="BJ10" s="286"/>
      <c r="BL10" s="103"/>
      <c r="BM10" s="103"/>
      <c r="BN10" s="103"/>
      <c r="BO10" s="103"/>
      <c r="BP10" s="101"/>
      <c r="BQ10" s="101"/>
      <c r="BR10" s="101"/>
      <c r="BS10" s="103"/>
      <c r="BT10" s="103"/>
    </row>
    <row r="11" spans="6:81" ht="10.5" customHeight="1" x14ac:dyDescent="0.2">
      <c r="R11" s="26" t="s">
        <v>21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22"/>
      <c r="AK11" s="222"/>
      <c r="AL11" s="222"/>
      <c r="AM11" s="222"/>
      <c r="AN11" s="222"/>
      <c r="AO11" s="222"/>
      <c r="AP11" s="222"/>
      <c r="AQ11" s="222"/>
      <c r="AS11" s="104">
        <v>0</v>
      </c>
      <c r="AT11" s="105" t="s">
        <v>80</v>
      </c>
      <c r="AU11" s="104">
        <v>0</v>
      </c>
      <c r="AV11" s="106" t="s">
        <v>98</v>
      </c>
      <c r="AW11" s="107">
        <f t="shared" ref="AW11:AW48" si="0">AS11*AU11</f>
        <v>0</v>
      </c>
      <c r="AX11" s="88"/>
      <c r="AY11" s="290">
        <f>SUM(AW10:AW48)</f>
        <v>0</v>
      </c>
      <c r="AZ11" s="291"/>
      <c r="BA11" s="292"/>
      <c r="BC11" s="108"/>
      <c r="BD11" s="109"/>
      <c r="BE11" s="109"/>
      <c r="BF11" s="110"/>
      <c r="BH11" s="284"/>
      <c r="BI11" s="285"/>
      <c r="BJ11" s="286"/>
      <c r="BQ11" s="87" t="s">
        <v>6</v>
      </c>
      <c r="BR11" s="87" t="s">
        <v>22</v>
      </c>
      <c r="BS11" s="111" t="s">
        <v>101</v>
      </c>
      <c r="BT11" s="111" t="s">
        <v>102</v>
      </c>
      <c r="BU11" s="87" t="s">
        <v>23</v>
      </c>
      <c r="BV11" s="87" t="s">
        <v>22</v>
      </c>
      <c r="BW11" s="87" t="s">
        <v>6</v>
      </c>
      <c r="BX11" s="111" t="s">
        <v>103</v>
      </c>
      <c r="CA11" s="111" t="s">
        <v>104</v>
      </c>
      <c r="CB11" s="112" t="s">
        <v>105</v>
      </c>
      <c r="CC11" s="112" t="s">
        <v>106</v>
      </c>
    </row>
    <row r="12" spans="6:81" ht="10.5" customHeight="1" x14ac:dyDescent="0.2">
      <c r="R12" s="29" t="s">
        <v>24</v>
      </c>
      <c r="T12" s="224"/>
      <c r="U12" s="224"/>
      <c r="W12" s="225" t="str">
        <f>IF(T12="X","A",IF(T13="X","M","B"))</f>
        <v>B</v>
      </c>
      <c r="X12" s="226"/>
      <c r="Y12" s="227"/>
      <c r="AR12" s="93"/>
      <c r="AS12" s="104">
        <v>0</v>
      </c>
      <c r="AT12" s="105" t="s">
        <v>80</v>
      </c>
      <c r="AU12" s="104">
        <v>0</v>
      </c>
      <c r="AV12" s="106" t="s">
        <v>98</v>
      </c>
      <c r="AW12" s="107">
        <f t="shared" si="0"/>
        <v>0</v>
      </c>
      <c r="AX12" s="88"/>
      <c r="AY12" s="293"/>
      <c r="AZ12" s="294"/>
      <c r="BA12" s="295"/>
      <c r="BC12" s="113"/>
      <c r="BD12" s="99"/>
      <c r="BE12" s="99"/>
      <c r="BF12" s="114"/>
      <c r="BH12" s="284"/>
      <c r="BI12" s="285"/>
      <c r="BJ12" s="286"/>
      <c r="BP12" s="90" t="s">
        <v>107</v>
      </c>
      <c r="BQ12" s="91" t="s">
        <v>12</v>
      </c>
      <c r="BR12" s="92">
        <v>1</v>
      </c>
      <c r="BS12" s="115">
        <f>6*1.04</f>
        <v>6.24</v>
      </c>
      <c r="BT12" s="115">
        <v>11.96</v>
      </c>
      <c r="BU12" s="116">
        <f>IF(LEFT($BL$9,3)=LEFT($BP12,3),1,0)</f>
        <v>1</v>
      </c>
      <c r="BV12" s="116">
        <f>IF($BM$9=$BR12,1,0)</f>
        <v>0</v>
      </c>
      <c r="BW12" s="116">
        <f>IF($BN$9=$BQ12,1,0)</f>
        <v>0</v>
      </c>
      <c r="BX12" s="111">
        <f t="shared" ref="BX12:BX43" si="1">BU12*BV12*BW12</f>
        <v>0</v>
      </c>
      <c r="BY12" s="117">
        <f>BS12*BX12</f>
        <v>0</v>
      </c>
      <c r="BZ12" s="117">
        <f>BT12*BX12</f>
        <v>0</v>
      </c>
      <c r="CA12" s="89">
        <v>45639</v>
      </c>
      <c r="CB12" s="89" t="str">
        <f t="shared" ref="CB12:CB43" si="2">IF(BX12=1,CA12,"")</f>
        <v/>
      </c>
      <c r="CC12" s="89" t="str">
        <f t="shared" ref="CC12:CC43" si="3">IF(BX12=1,PROPER(BP12),"")</f>
        <v/>
      </c>
    </row>
    <row r="13" spans="6:81" ht="10.5" customHeight="1" x14ac:dyDescent="0.2">
      <c r="R13" s="29" t="s">
        <v>25</v>
      </c>
      <c r="T13" s="224"/>
      <c r="U13" s="224"/>
      <c r="W13" s="251"/>
      <c r="X13" s="252"/>
      <c r="Y13" s="253"/>
      <c r="AB13" s="296" t="s">
        <v>26</v>
      </c>
      <c r="AC13" s="297"/>
      <c r="AD13" s="297"/>
      <c r="AE13" s="297"/>
      <c r="AF13" s="297"/>
      <c r="AG13" s="297"/>
      <c r="AH13" s="297"/>
      <c r="AI13" s="297"/>
      <c r="AJ13" s="297"/>
      <c r="AK13" s="297"/>
      <c r="AL13" s="297"/>
      <c r="AM13" s="297"/>
      <c r="AN13" s="297"/>
      <c r="AO13" s="297"/>
      <c r="AP13" s="297"/>
      <c r="AQ13" s="298"/>
      <c r="AR13" s="93"/>
      <c r="AS13" s="104">
        <v>0</v>
      </c>
      <c r="AT13" s="105" t="s">
        <v>80</v>
      </c>
      <c r="AU13" s="104">
        <v>0</v>
      </c>
      <c r="AV13" s="106" t="s">
        <v>98</v>
      </c>
      <c r="AW13" s="107">
        <f t="shared" si="0"/>
        <v>0</v>
      </c>
      <c r="AX13" s="88"/>
      <c r="BC13" s="113"/>
      <c r="BD13" s="99"/>
      <c r="BE13" s="99"/>
      <c r="BF13" s="118" t="str">
        <f>W12</f>
        <v>B</v>
      </c>
      <c r="BH13" s="284"/>
      <c r="BI13" s="285"/>
      <c r="BJ13" s="286"/>
      <c r="BP13" s="119" t="s">
        <v>107</v>
      </c>
      <c r="BQ13" s="120" t="s">
        <v>12</v>
      </c>
      <c r="BR13" s="121">
        <v>2</v>
      </c>
      <c r="BS13" s="115">
        <v>5.72</v>
      </c>
      <c r="BT13" s="115">
        <v>10.4</v>
      </c>
      <c r="BU13" s="116">
        <f t="shared" ref="BU13:BU69" si="4">IF(LEFT($BL$9,3)=LEFT($BP13,3),1,0)</f>
        <v>1</v>
      </c>
      <c r="BV13" s="116">
        <f t="shared" ref="BV13:BV69" si="5">IF($BM$9=$BR13,1,0)</f>
        <v>0</v>
      </c>
      <c r="BW13" s="116">
        <f t="shared" ref="BW13:BW69" si="6">IF($BN$9=$BQ13,1,0)</f>
        <v>0</v>
      </c>
      <c r="BX13" s="111">
        <f t="shared" si="1"/>
        <v>0</v>
      </c>
      <c r="BY13" s="117">
        <f t="shared" ref="BY13:BY69" si="7">BS13*BX13</f>
        <v>0</v>
      </c>
      <c r="BZ13" s="117">
        <f t="shared" ref="BZ13:BZ69" si="8">BT13*BX13</f>
        <v>0</v>
      </c>
      <c r="CA13" s="89">
        <v>45639</v>
      </c>
      <c r="CB13" s="89" t="str">
        <f t="shared" si="2"/>
        <v/>
      </c>
      <c r="CC13" s="89" t="str">
        <f t="shared" si="3"/>
        <v/>
      </c>
    </row>
    <row r="14" spans="6:81" ht="10.5" customHeight="1" x14ac:dyDescent="0.2">
      <c r="R14" s="29" t="s">
        <v>27</v>
      </c>
      <c r="T14" s="224"/>
      <c r="U14" s="224"/>
      <c r="W14" s="228"/>
      <c r="X14" s="229"/>
      <c r="Y14" s="230"/>
      <c r="AB14" s="299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1"/>
      <c r="AR14" s="302" t="str">
        <f>IF(BB14=0,CONCATENATE("ATTENZIONE VERIFICARE CAMPO ZONA - ",BB10),"")</f>
        <v/>
      </c>
      <c r="AS14" s="104">
        <v>0</v>
      </c>
      <c r="AT14" s="105" t="s">
        <v>80</v>
      </c>
      <c r="AU14" s="104">
        <v>0</v>
      </c>
      <c r="AV14" s="106" t="s">
        <v>98</v>
      </c>
      <c r="AW14" s="107">
        <f t="shared" si="0"/>
        <v>0</v>
      </c>
      <c r="AX14" s="88"/>
      <c r="BB14" s="122">
        <f>COUNTIF(BB18:BB23,G8)</f>
        <v>1</v>
      </c>
      <c r="BC14" s="113"/>
      <c r="BD14" s="99"/>
      <c r="BE14" s="99"/>
      <c r="BF14" s="114"/>
      <c r="BH14" s="284"/>
      <c r="BI14" s="285"/>
      <c r="BJ14" s="286"/>
      <c r="BP14" s="123" t="s">
        <v>107</v>
      </c>
      <c r="BQ14" s="124" t="s">
        <v>12</v>
      </c>
      <c r="BR14" s="125">
        <v>3</v>
      </c>
      <c r="BS14" s="115">
        <v>5.2</v>
      </c>
      <c r="BT14" s="115">
        <v>9.36</v>
      </c>
      <c r="BU14" s="116">
        <f t="shared" si="4"/>
        <v>1</v>
      </c>
      <c r="BV14" s="116">
        <f t="shared" si="5"/>
        <v>1</v>
      </c>
      <c r="BW14" s="116">
        <f t="shared" si="6"/>
        <v>0</v>
      </c>
      <c r="BX14" s="111">
        <f t="shared" si="1"/>
        <v>0</v>
      </c>
      <c r="BY14" s="117">
        <f t="shared" si="7"/>
        <v>0</v>
      </c>
      <c r="BZ14" s="117">
        <f t="shared" si="8"/>
        <v>0</v>
      </c>
      <c r="CA14" s="89">
        <v>45639</v>
      </c>
      <c r="CB14" s="89" t="str">
        <f t="shared" si="2"/>
        <v/>
      </c>
      <c r="CC14" s="89" t="str">
        <f t="shared" si="3"/>
        <v/>
      </c>
    </row>
    <row r="15" spans="6:81" ht="10.5" customHeight="1" x14ac:dyDescent="0.2">
      <c r="AR15" s="302"/>
      <c r="AS15" s="104">
        <v>0</v>
      </c>
      <c r="AT15" s="105" t="s">
        <v>80</v>
      </c>
      <c r="AU15" s="104">
        <v>0</v>
      </c>
      <c r="AV15" s="106" t="s">
        <v>98</v>
      </c>
      <c r="AW15" s="107">
        <f t="shared" si="0"/>
        <v>0</v>
      </c>
      <c r="AX15" s="88"/>
      <c r="BC15" s="113"/>
      <c r="BD15" s="99"/>
      <c r="BE15" s="99"/>
      <c r="BF15" s="114"/>
      <c r="BH15" s="284"/>
      <c r="BI15" s="285"/>
      <c r="BJ15" s="286"/>
      <c r="BP15" s="90" t="s">
        <v>107</v>
      </c>
      <c r="BQ15" s="91" t="s">
        <v>13</v>
      </c>
      <c r="BR15" s="92">
        <v>1</v>
      </c>
      <c r="BS15" s="115">
        <v>5.72</v>
      </c>
      <c r="BT15" s="115">
        <v>11.44</v>
      </c>
      <c r="BU15" s="116">
        <f t="shared" si="4"/>
        <v>1</v>
      </c>
      <c r="BV15" s="116">
        <f t="shared" si="5"/>
        <v>0</v>
      </c>
      <c r="BW15" s="116">
        <f t="shared" si="6"/>
        <v>0</v>
      </c>
      <c r="BX15" s="111">
        <f t="shared" si="1"/>
        <v>0</v>
      </c>
      <c r="BY15" s="117">
        <f t="shared" si="7"/>
        <v>0</v>
      </c>
      <c r="BZ15" s="117">
        <f t="shared" si="8"/>
        <v>0</v>
      </c>
      <c r="CA15" s="89">
        <v>45639</v>
      </c>
      <c r="CB15" s="89" t="str">
        <f t="shared" si="2"/>
        <v/>
      </c>
      <c r="CC15" s="89" t="str">
        <f t="shared" si="3"/>
        <v/>
      </c>
    </row>
    <row r="16" spans="6:81" ht="10.5" customHeight="1" x14ac:dyDescent="0.2">
      <c r="R16" s="26" t="s">
        <v>28</v>
      </c>
      <c r="AR16" s="302"/>
      <c r="AS16" s="104">
        <v>0</v>
      </c>
      <c r="AT16" s="105" t="s">
        <v>80</v>
      </c>
      <c r="AU16" s="104">
        <v>0</v>
      </c>
      <c r="AV16" s="106" t="s">
        <v>98</v>
      </c>
      <c r="AW16" s="107">
        <f t="shared" si="0"/>
        <v>0</v>
      </c>
      <c r="AX16" s="88"/>
      <c r="BC16" s="113"/>
      <c r="BD16" s="99"/>
      <c r="BE16" s="99"/>
      <c r="BF16" s="114"/>
      <c r="BH16" s="284"/>
      <c r="BI16" s="285"/>
      <c r="BJ16" s="286"/>
      <c r="BP16" s="119" t="s">
        <v>107</v>
      </c>
      <c r="BQ16" s="120" t="s">
        <v>13</v>
      </c>
      <c r="BR16" s="121">
        <v>2</v>
      </c>
      <c r="BS16" s="115">
        <v>5.2</v>
      </c>
      <c r="BT16" s="115">
        <v>9.8800000000000008</v>
      </c>
      <c r="BU16" s="116">
        <f t="shared" si="4"/>
        <v>1</v>
      </c>
      <c r="BV16" s="116">
        <f t="shared" si="5"/>
        <v>0</v>
      </c>
      <c r="BW16" s="116">
        <f t="shared" si="6"/>
        <v>0</v>
      </c>
      <c r="BX16" s="111">
        <f t="shared" si="1"/>
        <v>0</v>
      </c>
      <c r="BY16" s="117">
        <f t="shared" si="7"/>
        <v>0</v>
      </c>
      <c r="BZ16" s="117">
        <f t="shared" si="8"/>
        <v>0</v>
      </c>
      <c r="CA16" s="89">
        <v>45639</v>
      </c>
      <c r="CB16" s="89" t="str">
        <f t="shared" si="2"/>
        <v/>
      </c>
      <c r="CC16" s="89" t="str">
        <f t="shared" si="3"/>
        <v/>
      </c>
    </row>
    <row r="17" spans="18:81" ht="10.5" customHeight="1" x14ac:dyDescent="0.2">
      <c r="R17" s="29" t="s">
        <v>29</v>
      </c>
      <c r="T17" s="224"/>
      <c r="U17" s="224"/>
      <c r="W17" s="225" t="str">
        <f>IF(T17="X","A",IF(T18="X","M","B"))</f>
        <v>B</v>
      </c>
      <c r="X17" s="226"/>
      <c r="Y17" s="227"/>
      <c r="AB17" s="223" t="s">
        <v>236</v>
      </c>
      <c r="AC17" s="223"/>
      <c r="AD17" s="223"/>
      <c r="AE17" s="223"/>
      <c r="AF17" s="223"/>
      <c r="AG17" s="223"/>
      <c r="AH17" s="223"/>
      <c r="AJ17" s="303">
        <v>0</v>
      </c>
      <c r="AK17" s="304"/>
      <c r="AL17" s="304"/>
      <c r="AM17" s="304"/>
      <c r="AN17" s="304"/>
      <c r="AO17" s="304"/>
      <c r="AP17" s="304"/>
      <c r="AQ17" s="305"/>
      <c r="AR17" s="302"/>
      <c r="AS17" s="104">
        <v>0</v>
      </c>
      <c r="AT17" s="105" t="s">
        <v>80</v>
      </c>
      <c r="AU17" s="104">
        <v>0</v>
      </c>
      <c r="AV17" s="106" t="s">
        <v>98</v>
      </c>
      <c r="AW17" s="107">
        <f t="shared" si="0"/>
        <v>0</v>
      </c>
      <c r="AX17" s="88"/>
      <c r="BC17" s="113"/>
      <c r="BD17" s="99"/>
      <c r="BE17" s="99"/>
      <c r="BF17" s="114"/>
      <c r="BH17" s="287"/>
      <c r="BI17" s="288"/>
      <c r="BJ17" s="289"/>
      <c r="BP17" s="123" t="s">
        <v>107</v>
      </c>
      <c r="BQ17" s="124" t="s">
        <v>13</v>
      </c>
      <c r="BR17" s="125">
        <v>3</v>
      </c>
      <c r="BS17" s="115">
        <v>4.16</v>
      </c>
      <c r="BT17" s="115">
        <v>8.84</v>
      </c>
      <c r="BU17" s="116">
        <f t="shared" si="4"/>
        <v>1</v>
      </c>
      <c r="BV17" s="116">
        <f t="shared" si="5"/>
        <v>1</v>
      </c>
      <c r="BW17" s="116">
        <f t="shared" si="6"/>
        <v>0</v>
      </c>
      <c r="BX17" s="111">
        <f t="shared" si="1"/>
        <v>0</v>
      </c>
      <c r="BY17" s="117">
        <f t="shared" si="7"/>
        <v>0</v>
      </c>
      <c r="BZ17" s="117">
        <f t="shared" si="8"/>
        <v>0</v>
      </c>
      <c r="CA17" s="89">
        <v>45639</v>
      </c>
      <c r="CB17" s="89" t="str">
        <f t="shared" si="2"/>
        <v/>
      </c>
      <c r="CC17" s="89" t="str">
        <f t="shared" si="3"/>
        <v/>
      </c>
    </row>
    <row r="18" spans="18:81" ht="10.5" customHeight="1" x14ac:dyDescent="0.2">
      <c r="R18" s="29" t="s">
        <v>31</v>
      </c>
      <c r="T18" s="224"/>
      <c r="U18" s="224"/>
      <c r="W18" s="251"/>
      <c r="X18" s="252"/>
      <c r="Y18" s="253"/>
      <c r="AB18" s="223"/>
      <c r="AC18" s="223"/>
      <c r="AD18" s="223"/>
      <c r="AE18" s="223"/>
      <c r="AF18" s="223"/>
      <c r="AG18" s="223"/>
      <c r="AH18" s="223"/>
      <c r="AJ18" s="306"/>
      <c r="AK18" s="307"/>
      <c r="AL18" s="307"/>
      <c r="AM18" s="307"/>
      <c r="AN18" s="307"/>
      <c r="AO18" s="307"/>
      <c r="AP18" s="307"/>
      <c r="AQ18" s="308"/>
      <c r="AR18" s="302"/>
      <c r="AS18" s="104">
        <v>0</v>
      </c>
      <c r="AT18" s="105" t="s">
        <v>80</v>
      </c>
      <c r="AU18" s="104">
        <v>0</v>
      </c>
      <c r="AV18" s="106" t="s">
        <v>98</v>
      </c>
      <c r="AW18" s="107">
        <f t="shared" si="0"/>
        <v>0</v>
      </c>
      <c r="AX18" s="88"/>
      <c r="BB18" s="86" t="s">
        <v>12</v>
      </c>
      <c r="BC18" s="113"/>
      <c r="BD18" s="99"/>
      <c r="BE18" s="99"/>
      <c r="BF18" s="118" t="str">
        <f>W17</f>
        <v>B</v>
      </c>
      <c r="BP18" s="90" t="s">
        <v>107</v>
      </c>
      <c r="BQ18" s="91" t="s">
        <v>14</v>
      </c>
      <c r="BR18" s="92">
        <v>1</v>
      </c>
      <c r="BS18" s="115">
        <v>5.2</v>
      </c>
      <c r="BT18" s="115">
        <v>10.92</v>
      </c>
      <c r="BU18" s="116">
        <f t="shared" si="4"/>
        <v>1</v>
      </c>
      <c r="BV18" s="116">
        <f t="shared" si="5"/>
        <v>0</v>
      </c>
      <c r="BW18" s="116">
        <f t="shared" si="6"/>
        <v>0</v>
      </c>
      <c r="BX18" s="111">
        <f t="shared" si="1"/>
        <v>0</v>
      </c>
      <c r="BY18" s="117">
        <f t="shared" si="7"/>
        <v>0</v>
      </c>
      <c r="BZ18" s="117">
        <f t="shared" si="8"/>
        <v>0</v>
      </c>
      <c r="CA18" s="89">
        <v>45639</v>
      </c>
      <c r="CB18" s="89" t="str">
        <f t="shared" si="2"/>
        <v/>
      </c>
      <c r="CC18" s="89" t="str">
        <f t="shared" si="3"/>
        <v/>
      </c>
    </row>
    <row r="19" spans="18:81" ht="10.5" customHeight="1" x14ac:dyDescent="0.2">
      <c r="R19" s="29" t="s">
        <v>32</v>
      </c>
      <c r="T19" s="224"/>
      <c r="U19" s="224"/>
      <c r="W19" s="228"/>
      <c r="X19" s="229"/>
      <c r="Y19" s="230"/>
      <c r="AP19" s="27"/>
      <c r="AQ19" s="28" t="s">
        <v>108</v>
      </c>
      <c r="AR19" s="302"/>
      <c r="AS19" s="104">
        <v>0</v>
      </c>
      <c r="AT19" s="105" t="s">
        <v>80</v>
      </c>
      <c r="AU19" s="104">
        <v>0</v>
      </c>
      <c r="AV19" s="106" t="s">
        <v>98</v>
      </c>
      <c r="AW19" s="107">
        <f t="shared" si="0"/>
        <v>0</v>
      </c>
      <c r="AX19" s="88"/>
      <c r="BB19" s="86" t="s">
        <v>13</v>
      </c>
      <c r="BC19" s="113"/>
      <c r="BD19" s="99"/>
      <c r="BE19" s="99"/>
      <c r="BF19" s="114"/>
      <c r="BP19" s="119" t="s">
        <v>107</v>
      </c>
      <c r="BQ19" s="120" t="s">
        <v>14</v>
      </c>
      <c r="BR19" s="121">
        <v>2</v>
      </c>
      <c r="BS19" s="115">
        <v>4.68</v>
      </c>
      <c r="BT19" s="115">
        <v>9.36</v>
      </c>
      <c r="BU19" s="116">
        <f t="shared" si="4"/>
        <v>1</v>
      </c>
      <c r="BV19" s="116">
        <f t="shared" si="5"/>
        <v>0</v>
      </c>
      <c r="BW19" s="116">
        <f t="shared" si="6"/>
        <v>0</v>
      </c>
      <c r="BX19" s="111">
        <f t="shared" si="1"/>
        <v>0</v>
      </c>
      <c r="BY19" s="117">
        <f t="shared" si="7"/>
        <v>0</v>
      </c>
      <c r="BZ19" s="117">
        <f t="shared" si="8"/>
        <v>0</v>
      </c>
      <c r="CA19" s="89">
        <v>45639</v>
      </c>
      <c r="CB19" s="89" t="str">
        <f t="shared" si="2"/>
        <v/>
      </c>
      <c r="CC19" s="89" t="str">
        <f t="shared" si="3"/>
        <v/>
      </c>
    </row>
    <row r="20" spans="18:81" ht="10.5" customHeight="1" x14ac:dyDescent="0.2">
      <c r="AB20" s="309" t="str">
        <f>IF(AJ17&gt;=70,"70mq o superiore: +0%",IF(AJ17&lt;46,"(Inferiore a 46mq: +20%)","Tra 46 e 70mq: +10%"))</f>
        <v>(Inferiore a 46mq: +20%)</v>
      </c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2"/>
      <c r="AS20" s="104">
        <v>0</v>
      </c>
      <c r="AT20" s="105" t="s">
        <v>80</v>
      </c>
      <c r="AU20" s="104">
        <v>0</v>
      </c>
      <c r="AV20" s="106" t="s">
        <v>98</v>
      </c>
      <c r="AW20" s="107">
        <f t="shared" si="0"/>
        <v>0</v>
      </c>
      <c r="AX20" s="88"/>
      <c r="BB20" s="86" t="str">
        <f>IF($G$7="Pergine Valsugana","","C")</f>
        <v>C</v>
      </c>
      <c r="BC20" s="113"/>
      <c r="BD20" s="99"/>
      <c r="BE20" s="99"/>
      <c r="BF20" s="114"/>
      <c r="BP20" s="123" t="s">
        <v>107</v>
      </c>
      <c r="BQ20" s="124" t="s">
        <v>14</v>
      </c>
      <c r="BR20" s="125">
        <v>3</v>
      </c>
      <c r="BS20" s="115">
        <v>4.16</v>
      </c>
      <c r="BT20" s="115">
        <v>8.32</v>
      </c>
      <c r="BU20" s="116">
        <f t="shared" si="4"/>
        <v>1</v>
      </c>
      <c r="BV20" s="116">
        <f t="shared" si="5"/>
        <v>1</v>
      </c>
      <c r="BW20" s="116">
        <f t="shared" si="6"/>
        <v>0</v>
      </c>
      <c r="BX20" s="111">
        <f t="shared" si="1"/>
        <v>0</v>
      </c>
      <c r="BY20" s="117">
        <f t="shared" si="7"/>
        <v>0</v>
      </c>
      <c r="BZ20" s="117">
        <f t="shared" si="8"/>
        <v>0</v>
      </c>
      <c r="CA20" s="89">
        <v>45639</v>
      </c>
      <c r="CB20" s="89" t="str">
        <f t="shared" si="2"/>
        <v/>
      </c>
      <c r="CC20" s="89" t="str">
        <f t="shared" si="3"/>
        <v/>
      </c>
    </row>
    <row r="21" spans="18:81" ht="10.5" customHeight="1" x14ac:dyDescent="0.2">
      <c r="R21" s="26" t="s">
        <v>33</v>
      </c>
      <c r="AR21" s="302"/>
      <c r="AS21" s="104">
        <v>0</v>
      </c>
      <c r="AT21" s="105" t="s">
        <v>80</v>
      </c>
      <c r="AU21" s="104">
        <v>0</v>
      </c>
      <c r="AV21" s="106" t="s">
        <v>98</v>
      </c>
      <c r="AW21" s="107">
        <f t="shared" si="0"/>
        <v>0</v>
      </c>
      <c r="AX21" s="88"/>
      <c r="BB21" s="86" t="str">
        <f>IF($G$7="Trento","D","")</f>
        <v>D</v>
      </c>
      <c r="BC21" s="113"/>
      <c r="BD21" s="99"/>
      <c r="BE21" s="99"/>
      <c r="BF21" s="114"/>
      <c r="BP21" s="90" t="s">
        <v>107</v>
      </c>
      <c r="BQ21" s="91" t="s">
        <v>15</v>
      </c>
      <c r="BR21" s="92">
        <v>1</v>
      </c>
      <c r="BS21" s="115">
        <v>5.2</v>
      </c>
      <c r="BT21" s="115">
        <v>9.8800000000000008</v>
      </c>
      <c r="BU21" s="116">
        <f t="shared" si="4"/>
        <v>1</v>
      </c>
      <c r="BV21" s="116">
        <f t="shared" si="5"/>
        <v>0</v>
      </c>
      <c r="BW21" s="116">
        <f t="shared" si="6"/>
        <v>0</v>
      </c>
      <c r="BX21" s="111">
        <f t="shared" si="1"/>
        <v>0</v>
      </c>
      <c r="BY21" s="117">
        <f t="shared" si="7"/>
        <v>0</v>
      </c>
      <c r="BZ21" s="117">
        <f t="shared" si="8"/>
        <v>0</v>
      </c>
      <c r="CA21" s="89">
        <v>45639</v>
      </c>
      <c r="CB21" s="89" t="str">
        <f t="shared" si="2"/>
        <v/>
      </c>
      <c r="CC21" s="89" t="str">
        <f t="shared" si="3"/>
        <v/>
      </c>
    </row>
    <row r="22" spans="18:81" ht="10.5" customHeight="1" x14ac:dyDescent="0.2">
      <c r="R22" s="29" t="s">
        <v>34</v>
      </c>
      <c r="T22" s="224"/>
      <c r="U22" s="224"/>
      <c r="AB22" s="223" t="s">
        <v>35</v>
      </c>
      <c r="AC22" s="223"/>
      <c r="AD22" s="223"/>
      <c r="AE22" s="223"/>
      <c r="AF22" s="223"/>
      <c r="AG22" s="223"/>
      <c r="AH22" s="223"/>
      <c r="AJ22" s="310">
        <f>'Calcolatore Metri'!D4</f>
        <v>0</v>
      </c>
      <c r="AK22" s="311"/>
      <c r="AL22" s="311"/>
      <c r="AM22" s="311"/>
      <c r="AN22" s="311"/>
      <c r="AO22" s="311"/>
      <c r="AP22" s="311"/>
      <c r="AQ22" s="312"/>
      <c r="AR22" s="302"/>
      <c r="AS22" s="104">
        <v>0</v>
      </c>
      <c r="AT22" s="105" t="s">
        <v>80</v>
      </c>
      <c r="AU22" s="104">
        <v>0</v>
      </c>
      <c r="AV22" s="106" t="s">
        <v>98</v>
      </c>
      <c r="AW22" s="107">
        <f t="shared" si="0"/>
        <v>0</v>
      </c>
      <c r="AX22" s="88"/>
      <c r="BB22" s="86" t="str">
        <f>IF($G$7="Trento","E","")</f>
        <v>E</v>
      </c>
      <c r="BC22" s="126" t="str">
        <f>IF(T22="X","AAA","")</f>
        <v/>
      </c>
      <c r="BD22" s="127" t="str">
        <f>IF(BC22="AAA","A","")</f>
        <v/>
      </c>
      <c r="BE22" s="127" t="str">
        <f>IF(BC22="AAA","A","")</f>
        <v/>
      </c>
      <c r="BF22" s="118" t="str">
        <f>IF(BC22="AAA","A","")</f>
        <v/>
      </c>
      <c r="BP22" s="119" t="s">
        <v>107</v>
      </c>
      <c r="BQ22" s="120" t="s">
        <v>15</v>
      </c>
      <c r="BR22" s="121">
        <v>2</v>
      </c>
      <c r="BS22" s="115">
        <v>4.16</v>
      </c>
      <c r="BT22" s="115">
        <v>8.84</v>
      </c>
      <c r="BU22" s="116">
        <f t="shared" si="4"/>
        <v>1</v>
      </c>
      <c r="BV22" s="116">
        <f t="shared" si="5"/>
        <v>0</v>
      </c>
      <c r="BW22" s="116">
        <f t="shared" si="6"/>
        <v>0</v>
      </c>
      <c r="BX22" s="111">
        <f t="shared" si="1"/>
        <v>0</v>
      </c>
      <c r="BY22" s="117">
        <f t="shared" si="7"/>
        <v>0</v>
      </c>
      <c r="BZ22" s="117">
        <f t="shared" si="8"/>
        <v>0</v>
      </c>
      <c r="CA22" s="89">
        <v>45639</v>
      </c>
      <c r="CB22" s="89" t="str">
        <f t="shared" si="2"/>
        <v/>
      </c>
      <c r="CC22" s="89" t="str">
        <f t="shared" si="3"/>
        <v/>
      </c>
    </row>
    <row r="23" spans="18:81" ht="10.5" customHeight="1" x14ac:dyDescent="0.2">
      <c r="R23" s="29" t="s">
        <v>36</v>
      </c>
      <c r="T23" s="224"/>
      <c r="U23" s="224"/>
      <c r="W23" s="225" t="str">
        <f>CONCATENATE(BC22,BC23,BC24,BC25,BC26)</f>
        <v/>
      </c>
      <c r="X23" s="226"/>
      <c r="Y23" s="227"/>
      <c r="AB23" s="223"/>
      <c r="AC23" s="223"/>
      <c r="AD23" s="223"/>
      <c r="AE23" s="223"/>
      <c r="AF23" s="223"/>
      <c r="AG23" s="223"/>
      <c r="AH23" s="223"/>
      <c r="AJ23" s="313"/>
      <c r="AK23" s="314"/>
      <c r="AL23" s="314"/>
      <c r="AM23" s="314"/>
      <c r="AN23" s="314"/>
      <c r="AO23" s="314"/>
      <c r="AP23" s="314"/>
      <c r="AQ23" s="315"/>
      <c r="AS23" s="104">
        <v>0</v>
      </c>
      <c r="AT23" s="105" t="s">
        <v>80</v>
      </c>
      <c r="AU23" s="104">
        <v>0</v>
      </c>
      <c r="AV23" s="106" t="s">
        <v>98</v>
      </c>
      <c r="AW23" s="107">
        <f t="shared" si="0"/>
        <v>0</v>
      </c>
      <c r="AX23" s="88"/>
      <c r="BB23" s="86" t="str">
        <f>IF($G$7="Trento","F","")</f>
        <v>F</v>
      </c>
      <c r="BC23" s="126" t="str">
        <f>IF(T23="X","AA","")</f>
        <v/>
      </c>
      <c r="BD23" s="127"/>
      <c r="BE23" s="127" t="str">
        <f>IF(BC23="AA","A","")</f>
        <v/>
      </c>
      <c r="BF23" s="118" t="str">
        <f>IF(BC23="AA","A","")</f>
        <v/>
      </c>
      <c r="BP23" s="123" t="s">
        <v>107</v>
      </c>
      <c r="BQ23" s="124" t="s">
        <v>15</v>
      </c>
      <c r="BR23" s="125">
        <v>3</v>
      </c>
      <c r="BS23" s="115">
        <v>3.64</v>
      </c>
      <c r="BT23" s="115">
        <v>7.8</v>
      </c>
      <c r="BU23" s="116">
        <f t="shared" si="4"/>
        <v>1</v>
      </c>
      <c r="BV23" s="116">
        <f t="shared" si="5"/>
        <v>1</v>
      </c>
      <c r="BW23" s="116">
        <f t="shared" si="6"/>
        <v>0</v>
      </c>
      <c r="BX23" s="111">
        <f t="shared" si="1"/>
        <v>0</v>
      </c>
      <c r="BY23" s="117">
        <f t="shared" si="7"/>
        <v>0</v>
      </c>
      <c r="BZ23" s="117">
        <f t="shared" si="8"/>
        <v>0</v>
      </c>
      <c r="CA23" s="89">
        <v>45639</v>
      </c>
      <c r="CB23" s="89" t="str">
        <f t="shared" si="2"/>
        <v/>
      </c>
      <c r="CC23" s="89" t="str">
        <f t="shared" si="3"/>
        <v/>
      </c>
    </row>
    <row r="24" spans="18:81" ht="10.5" customHeight="1" x14ac:dyDescent="0.2">
      <c r="R24" s="29" t="s">
        <v>37</v>
      </c>
      <c r="T24" s="224"/>
      <c r="U24" s="224"/>
      <c r="W24" s="251"/>
      <c r="X24" s="252"/>
      <c r="Y24" s="253"/>
      <c r="AS24" s="104">
        <v>0</v>
      </c>
      <c r="AT24" s="105" t="s">
        <v>80</v>
      </c>
      <c r="AU24" s="104">
        <v>0</v>
      </c>
      <c r="AV24" s="106" t="s">
        <v>98</v>
      </c>
      <c r="AW24" s="107">
        <f t="shared" si="0"/>
        <v>0</v>
      </c>
      <c r="AX24" s="88"/>
      <c r="BC24" s="126" t="str">
        <f>IF(T24="X","A","")</f>
        <v/>
      </c>
      <c r="BD24" s="99"/>
      <c r="BE24" s="99"/>
      <c r="BF24" s="118" t="str">
        <f>IF(BC24="A","A","")</f>
        <v/>
      </c>
      <c r="BP24" s="90" t="s">
        <v>107</v>
      </c>
      <c r="BQ24" s="91" t="s">
        <v>16</v>
      </c>
      <c r="BR24" s="92">
        <v>1</v>
      </c>
      <c r="BS24" s="115">
        <v>4.68</v>
      </c>
      <c r="BT24" s="115">
        <v>8.84</v>
      </c>
      <c r="BU24" s="116">
        <f t="shared" si="4"/>
        <v>1</v>
      </c>
      <c r="BV24" s="116">
        <f t="shared" si="5"/>
        <v>0</v>
      </c>
      <c r="BW24" s="116">
        <f t="shared" si="6"/>
        <v>0</v>
      </c>
      <c r="BX24" s="111">
        <f t="shared" si="1"/>
        <v>0</v>
      </c>
      <c r="BY24" s="117">
        <f t="shared" si="7"/>
        <v>0</v>
      </c>
      <c r="BZ24" s="117">
        <f t="shared" si="8"/>
        <v>0</v>
      </c>
      <c r="CA24" s="89">
        <v>45639</v>
      </c>
      <c r="CB24" s="89" t="str">
        <f t="shared" si="2"/>
        <v/>
      </c>
      <c r="CC24" s="89" t="str">
        <f t="shared" si="3"/>
        <v/>
      </c>
    </row>
    <row r="25" spans="18:81" ht="10.5" customHeight="1" x14ac:dyDescent="0.2">
      <c r="R25" s="29" t="s">
        <v>38</v>
      </c>
      <c r="T25" s="224"/>
      <c r="U25" s="224"/>
      <c r="W25" s="228"/>
      <c r="X25" s="229"/>
      <c r="Y25" s="230"/>
      <c r="AB25" s="223" t="s">
        <v>39</v>
      </c>
      <c r="AC25" s="223"/>
      <c r="AD25" s="223"/>
      <c r="AE25" s="223"/>
      <c r="AF25" s="223"/>
      <c r="AG25" s="223"/>
      <c r="AH25" s="223"/>
      <c r="AJ25" s="231">
        <v>0</v>
      </c>
      <c r="AK25" s="232"/>
      <c r="AL25" s="233"/>
      <c r="AM25" s="237" t="s">
        <v>40</v>
      </c>
      <c r="AN25" s="238"/>
      <c r="AO25" s="239">
        <f>'Calcolatore Metri'!D6</f>
        <v>0</v>
      </c>
      <c r="AP25" s="240"/>
      <c r="AQ25" s="241"/>
      <c r="AR25" s="128" t="s">
        <v>95</v>
      </c>
      <c r="AS25" s="104">
        <v>0</v>
      </c>
      <c r="AT25" s="105" t="s">
        <v>80</v>
      </c>
      <c r="AU25" s="104">
        <v>0</v>
      </c>
      <c r="AV25" s="106" t="s">
        <v>98</v>
      </c>
      <c r="AW25" s="107">
        <f t="shared" si="0"/>
        <v>0</v>
      </c>
      <c r="AX25" s="88"/>
      <c r="BB25" s="87">
        <f>IF($G$7="Trento",1,0)</f>
        <v>1</v>
      </c>
      <c r="BC25" s="126" t="str">
        <f>IF(T25="X","M","")</f>
        <v/>
      </c>
      <c r="BD25" s="99"/>
      <c r="BE25" s="99"/>
      <c r="BF25" s="118" t="str">
        <f>IF(BC25="M","M","")</f>
        <v/>
      </c>
      <c r="BP25" s="119" t="s">
        <v>107</v>
      </c>
      <c r="BQ25" s="120" t="s">
        <v>16</v>
      </c>
      <c r="BR25" s="121">
        <v>2</v>
      </c>
      <c r="BS25" s="115">
        <v>4.16</v>
      </c>
      <c r="BT25" s="115">
        <v>7.28</v>
      </c>
      <c r="BU25" s="116">
        <f t="shared" si="4"/>
        <v>1</v>
      </c>
      <c r="BV25" s="116">
        <f t="shared" si="5"/>
        <v>0</v>
      </c>
      <c r="BW25" s="116">
        <f t="shared" si="6"/>
        <v>0</v>
      </c>
      <c r="BX25" s="111">
        <f t="shared" si="1"/>
        <v>0</v>
      </c>
      <c r="BY25" s="117">
        <f t="shared" si="7"/>
        <v>0</v>
      </c>
      <c r="BZ25" s="117">
        <f t="shared" si="8"/>
        <v>0</v>
      </c>
      <c r="CA25" s="89">
        <v>45639</v>
      </c>
      <c r="CB25" s="89" t="str">
        <f t="shared" si="2"/>
        <v/>
      </c>
      <c r="CC25" s="89" t="str">
        <f t="shared" si="3"/>
        <v/>
      </c>
    </row>
    <row r="26" spans="18:81" ht="10.5" customHeight="1" x14ac:dyDescent="0.2">
      <c r="R26" s="29" t="s">
        <v>41</v>
      </c>
      <c r="T26" s="224"/>
      <c r="U26" s="224"/>
      <c r="AB26" s="223"/>
      <c r="AC26" s="223"/>
      <c r="AD26" s="223"/>
      <c r="AE26" s="223"/>
      <c r="AF26" s="223"/>
      <c r="AG26" s="223"/>
      <c r="AH26" s="223"/>
      <c r="AJ26" s="234"/>
      <c r="AK26" s="235"/>
      <c r="AL26" s="236"/>
      <c r="AM26" s="237"/>
      <c r="AN26" s="238"/>
      <c r="AO26" s="242"/>
      <c r="AP26" s="243"/>
      <c r="AQ26" s="244"/>
      <c r="AR26" s="128" t="s">
        <v>97</v>
      </c>
      <c r="AS26" s="104">
        <v>0</v>
      </c>
      <c r="AT26" s="105" t="s">
        <v>80</v>
      </c>
      <c r="AU26" s="104">
        <v>0</v>
      </c>
      <c r="AV26" s="106" t="s">
        <v>98</v>
      </c>
      <c r="AW26" s="107">
        <f t="shared" si="0"/>
        <v>0</v>
      </c>
      <c r="AX26" s="88"/>
      <c r="BB26" s="87">
        <f>IF($G$7="Riva Del Garda",1,0)</f>
        <v>0</v>
      </c>
      <c r="BC26" s="126" t="str">
        <f>IF(T26="X","B","")</f>
        <v/>
      </c>
      <c r="BD26" s="99"/>
      <c r="BE26" s="99"/>
      <c r="BF26" s="118" t="str">
        <f>IF(BC26="B","B","")</f>
        <v/>
      </c>
      <c r="BP26" s="123" t="s">
        <v>107</v>
      </c>
      <c r="BQ26" s="124" t="s">
        <v>16</v>
      </c>
      <c r="BR26" s="125">
        <v>3</v>
      </c>
      <c r="BS26" s="115">
        <v>3.12</v>
      </c>
      <c r="BT26" s="115">
        <v>6.24</v>
      </c>
      <c r="BU26" s="116">
        <f t="shared" si="4"/>
        <v>1</v>
      </c>
      <c r="BV26" s="116">
        <f t="shared" si="5"/>
        <v>1</v>
      </c>
      <c r="BW26" s="116">
        <f t="shared" si="6"/>
        <v>0</v>
      </c>
      <c r="BX26" s="111">
        <f t="shared" si="1"/>
        <v>0</v>
      </c>
      <c r="BY26" s="117">
        <f t="shared" si="7"/>
        <v>0</v>
      </c>
      <c r="BZ26" s="117">
        <f t="shared" si="8"/>
        <v>0</v>
      </c>
      <c r="CA26" s="89">
        <v>45639</v>
      </c>
      <c r="CB26" s="89" t="str">
        <f t="shared" si="2"/>
        <v/>
      </c>
      <c r="CC26" s="89" t="str">
        <f t="shared" si="3"/>
        <v/>
      </c>
    </row>
    <row r="27" spans="18:81" ht="10.5" customHeight="1" x14ac:dyDescent="0.2">
      <c r="R27" s="23"/>
      <c r="AJ27" s="30"/>
      <c r="AK27" s="30"/>
      <c r="AL27" s="30"/>
      <c r="AM27" s="30"/>
      <c r="AN27" s="30"/>
      <c r="AO27" s="30"/>
      <c r="AP27" s="30"/>
      <c r="AQ27" s="30"/>
      <c r="AR27" s="128" t="s">
        <v>100</v>
      </c>
      <c r="AS27" s="104">
        <v>0</v>
      </c>
      <c r="AT27" s="105" t="s">
        <v>80</v>
      </c>
      <c r="AU27" s="104">
        <v>0</v>
      </c>
      <c r="AV27" s="106" t="s">
        <v>98</v>
      </c>
      <c r="AW27" s="107">
        <f t="shared" si="0"/>
        <v>0</v>
      </c>
      <c r="AX27" s="88"/>
      <c r="BB27" s="87">
        <f>IF($G$7="Pergine Valsugana",0,0)</f>
        <v>0</v>
      </c>
      <c r="BC27" s="113"/>
      <c r="BD27" s="99"/>
      <c r="BE27" s="99"/>
      <c r="BF27" s="114"/>
      <c r="BP27" s="90" t="s">
        <v>107</v>
      </c>
      <c r="BQ27" s="91" t="s">
        <v>17</v>
      </c>
      <c r="BR27" s="92">
        <v>1</v>
      </c>
      <c r="BS27" s="115">
        <v>4.16</v>
      </c>
      <c r="BT27" s="115">
        <v>7.8</v>
      </c>
      <c r="BU27" s="116">
        <f t="shared" si="4"/>
        <v>1</v>
      </c>
      <c r="BV27" s="116">
        <f t="shared" si="5"/>
        <v>0</v>
      </c>
      <c r="BW27" s="116">
        <f t="shared" si="6"/>
        <v>1</v>
      </c>
      <c r="BX27" s="111">
        <f t="shared" si="1"/>
        <v>0</v>
      </c>
      <c r="BY27" s="117">
        <f t="shared" si="7"/>
        <v>0</v>
      </c>
      <c r="BZ27" s="117">
        <f t="shared" si="8"/>
        <v>0</v>
      </c>
      <c r="CA27" s="89">
        <v>45639</v>
      </c>
      <c r="CB27" s="89" t="str">
        <f t="shared" si="2"/>
        <v/>
      </c>
      <c r="CC27" s="89" t="str">
        <f t="shared" si="3"/>
        <v/>
      </c>
    </row>
    <row r="28" spans="18:81" ht="10.5" customHeight="1" x14ac:dyDescent="0.2">
      <c r="R28" s="26" t="s">
        <v>42</v>
      </c>
      <c r="AB28" s="223" t="s">
        <v>237</v>
      </c>
      <c r="AC28" s="223"/>
      <c r="AD28" s="223"/>
      <c r="AE28" s="223"/>
      <c r="AF28" s="223"/>
      <c r="AG28" s="223"/>
      <c r="AH28" s="223"/>
      <c r="AJ28" s="231">
        <v>0</v>
      </c>
      <c r="AK28" s="232"/>
      <c r="AL28" s="233"/>
      <c r="AM28" s="237" t="s">
        <v>44</v>
      </c>
      <c r="AN28" s="238"/>
      <c r="AO28" s="239">
        <f>'Calcolatore Metri'!D7</f>
        <v>0</v>
      </c>
      <c r="AP28" s="240"/>
      <c r="AQ28" s="241"/>
      <c r="AS28" s="104">
        <v>0</v>
      </c>
      <c r="AT28" s="105" t="s">
        <v>80</v>
      </c>
      <c r="AU28" s="104">
        <v>0</v>
      </c>
      <c r="AV28" s="106" t="s">
        <v>98</v>
      </c>
      <c r="AW28" s="107">
        <f t="shared" si="0"/>
        <v>0</v>
      </c>
      <c r="AX28" s="88"/>
      <c r="BB28" s="87">
        <f>IF($G$7="Arco",1,0)</f>
        <v>0</v>
      </c>
      <c r="BC28" s="113"/>
      <c r="BD28" s="99"/>
      <c r="BE28" s="99"/>
      <c r="BF28" s="114"/>
      <c r="BP28" s="119" t="s">
        <v>107</v>
      </c>
      <c r="BQ28" s="120" t="s">
        <v>17</v>
      </c>
      <c r="BR28" s="121">
        <v>2</v>
      </c>
      <c r="BS28" s="115">
        <v>3.64</v>
      </c>
      <c r="BT28" s="115">
        <v>6.76</v>
      </c>
      <c r="BU28" s="116">
        <f t="shared" si="4"/>
        <v>1</v>
      </c>
      <c r="BV28" s="116">
        <f t="shared" si="5"/>
        <v>0</v>
      </c>
      <c r="BW28" s="116">
        <f t="shared" si="6"/>
        <v>1</v>
      </c>
      <c r="BX28" s="111">
        <f t="shared" si="1"/>
        <v>0</v>
      </c>
      <c r="BY28" s="117">
        <f t="shared" si="7"/>
        <v>0</v>
      </c>
      <c r="BZ28" s="117">
        <f t="shared" si="8"/>
        <v>0</v>
      </c>
      <c r="CA28" s="89">
        <v>45639</v>
      </c>
      <c r="CB28" s="89" t="str">
        <f t="shared" si="2"/>
        <v/>
      </c>
      <c r="CC28" s="89" t="str">
        <f t="shared" si="3"/>
        <v/>
      </c>
    </row>
    <row r="29" spans="18:81" ht="10.5" customHeight="1" x14ac:dyDescent="0.2">
      <c r="R29" s="29" t="s">
        <v>235</v>
      </c>
      <c r="T29" s="224"/>
      <c r="U29" s="224"/>
      <c r="AB29" s="223"/>
      <c r="AC29" s="223"/>
      <c r="AD29" s="223"/>
      <c r="AE29" s="223"/>
      <c r="AF29" s="223"/>
      <c r="AG29" s="223"/>
      <c r="AH29" s="223"/>
      <c r="AJ29" s="234"/>
      <c r="AK29" s="235"/>
      <c r="AL29" s="236"/>
      <c r="AM29" s="237"/>
      <c r="AN29" s="238"/>
      <c r="AO29" s="242"/>
      <c r="AP29" s="243"/>
      <c r="AQ29" s="244"/>
      <c r="AR29" s="129" t="s">
        <v>228</v>
      </c>
      <c r="AS29" s="104">
        <v>0</v>
      </c>
      <c r="AT29" s="105" t="s">
        <v>80</v>
      </c>
      <c r="AU29" s="104">
        <v>0</v>
      </c>
      <c r="AV29" s="106" t="s">
        <v>98</v>
      </c>
      <c r="AW29" s="107">
        <f t="shared" si="0"/>
        <v>0</v>
      </c>
      <c r="AX29" s="88"/>
      <c r="BB29" s="87">
        <f>IF($G$7="Rovereto",1,0)</f>
        <v>0</v>
      </c>
      <c r="BC29" s="130" t="s">
        <v>81</v>
      </c>
      <c r="BD29" s="99"/>
      <c r="BE29" s="99"/>
      <c r="BF29" s="114"/>
      <c r="BP29" s="123" t="s">
        <v>107</v>
      </c>
      <c r="BQ29" s="124" t="s">
        <v>17</v>
      </c>
      <c r="BR29" s="125">
        <v>3</v>
      </c>
      <c r="BS29" s="115">
        <v>3.12</v>
      </c>
      <c r="BT29" s="115">
        <v>5.72</v>
      </c>
      <c r="BU29" s="116">
        <f t="shared" si="4"/>
        <v>1</v>
      </c>
      <c r="BV29" s="116">
        <f t="shared" si="5"/>
        <v>1</v>
      </c>
      <c r="BW29" s="116">
        <f t="shared" si="6"/>
        <v>1</v>
      </c>
      <c r="BX29" s="111">
        <f t="shared" si="1"/>
        <v>1</v>
      </c>
      <c r="BY29" s="117">
        <f t="shared" si="7"/>
        <v>3.12</v>
      </c>
      <c r="BZ29" s="117">
        <f t="shared" si="8"/>
        <v>5.72</v>
      </c>
      <c r="CA29" s="89">
        <v>45639</v>
      </c>
      <c r="CB29" s="89">
        <f t="shared" si="2"/>
        <v>45639</v>
      </c>
      <c r="CC29" s="89" t="str">
        <f t="shared" si="3"/>
        <v>Trento</v>
      </c>
    </row>
    <row r="30" spans="18:81" ht="10.5" customHeight="1" x14ac:dyDescent="0.2">
      <c r="R30" s="29" t="s">
        <v>46</v>
      </c>
      <c r="T30" s="224"/>
      <c r="U30" s="224"/>
      <c r="AJ30" s="30"/>
      <c r="AK30" s="30"/>
      <c r="AL30" s="30"/>
      <c r="AM30" s="30"/>
      <c r="AN30" s="30"/>
      <c r="AO30" s="30"/>
      <c r="AP30" s="30"/>
      <c r="AQ30" s="30"/>
      <c r="AR30" s="131"/>
      <c r="AS30" s="104">
        <v>0</v>
      </c>
      <c r="AT30" s="105" t="s">
        <v>80</v>
      </c>
      <c r="AU30" s="104">
        <v>0</v>
      </c>
      <c r="AV30" s="106" t="s">
        <v>98</v>
      </c>
      <c r="AW30" s="107">
        <f t="shared" si="0"/>
        <v>0</v>
      </c>
      <c r="AX30" s="88"/>
      <c r="BC30" s="132">
        <f>COUNTIF(T29:U35,"X")</f>
        <v>0</v>
      </c>
      <c r="BD30" s="99"/>
      <c r="BE30" s="99"/>
      <c r="BF30" s="114"/>
      <c r="BP30" s="90" t="s">
        <v>109</v>
      </c>
      <c r="BQ30" s="91" t="s">
        <v>12</v>
      </c>
      <c r="BR30" s="92">
        <v>1</v>
      </c>
      <c r="BS30" s="133">
        <v>6.79</v>
      </c>
      <c r="BT30" s="133">
        <v>7.67</v>
      </c>
      <c r="BU30" s="116">
        <f t="shared" si="4"/>
        <v>0</v>
      </c>
      <c r="BV30" s="116">
        <f t="shared" si="5"/>
        <v>0</v>
      </c>
      <c r="BW30" s="116">
        <f t="shared" si="6"/>
        <v>0</v>
      </c>
      <c r="BX30" s="111">
        <f t="shared" si="1"/>
        <v>0</v>
      </c>
      <c r="BY30" s="117">
        <f t="shared" si="7"/>
        <v>0</v>
      </c>
      <c r="BZ30" s="117">
        <f t="shared" si="8"/>
        <v>0</v>
      </c>
      <c r="CA30" s="89">
        <v>37818</v>
      </c>
      <c r="CB30" s="89" t="str">
        <f t="shared" si="2"/>
        <v/>
      </c>
      <c r="CC30" s="89" t="str">
        <f t="shared" si="3"/>
        <v/>
      </c>
    </row>
    <row r="31" spans="18:81" ht="10.5" customHeight="1" x14ac:dyDescent="0.2">
      <c r="R31" s="29" t="s">
        <v>47</v>
      </c>
      <c r="T31" s="224"/>
      <c r="U31" s="224"/>
      <c r="W31" s="225" t="str">
        <f>IF(BC30&lt;=1,"B",IF(BC30&gt;=3,"A","M"))</f>
        <v>B</v>
      </c>
      <c r="X31" s="226"/>
      <c r="Y31" s="227"/>
      <c r="AB31" s="223" t="s">
        <v>48</v>
      </c>
      <c r="AC31" s="223"/>
      <c r="AD31" s="223"/>
      <c r="AE31" s="223"/>
      <c r="AF31" s="223"/>
      <c r="AG31" s="223"/>
      <c r="AH31" s="223"/>
      <c r="AJ31" s="231">
        <v>0</v>
      </c>
      <c r="AK31" s="232"/>
      <c r="AL31" s="233"/>
      <c r="AM31" s="237" t="s">
        <v>49</v>
      </c>
      <c r="AN31" s="238"/>
      <c r="AO31" s="239">
        <f>'Calcolatore Metri'!D8</f>
        <v>0</v>
      </c>
      <c r="AP31" s="240"/>
      <c r="AQ31" s="241"/>
      <c r="AR31" s="134" t="s">
        <v>229</v>
      </c>
      <c r="AS31" s="104">
        <v>0</v>
      </c>
      <c r="AT31" s="105" t="s">
        <v>80</v>
      </c>
      <c r="AU31" s="104">
        <v>0</v>
      </c>
      <c r="AV31" s="106" t="s">
        <v>98</v>
      </c>
      <c r="AW31" s="107">
        <f t="shared" si="0"/>
        <v>0</v>
      </c>
      <c r="AX31" s="88"/>
      <c r="BB31" s="87" t="str">
        <f>IF(SUM(BB25:BB29)&gt;=1,"NEW","OLD")</f>
        <v>NEW</v>
      </c>
      <c r="BC31" s="113"/>
      <c r="BD31" s="99"/>
      <c r="BE31" s="99"/>
      <c r="BF31" s="118" t="str">
        <f>W31</f>
        <v>B</v>
      </c>
      <c r="BP31" s="119" t="s">
        <v>109</v>
      </c>
      <c r="BQ31" s="120" t="s">
        <v>12</v>
      </c>
      <c r="BR31" s="121">
        <v>2</v>
      </c>
      <c r="BS31" s="133">
        <v>5.3</v>
      </c>
      <c r="BT31" s="133">
        <v>6.79</v>
      </c>
      <c r="BU31" s="116">
        <f t="shared" si="4"/>
        <v>0</v>
      </c>
      <c r="BV31" s="116">
        <f t="shared" si="5"/>
        <v>0</v>
      </c>
      <c r="BW31" s="116">
        <f t="shared" si="6"/>
        <v>0</v>
      </c>
      <c r="BX31" s="111">
        <f t="shared" si="1"/>
        <v>0</v>
      </c>
      <c r="BY31" s="117">
        <f t="shared" si="7"/>
        <v>0</v>
      </c>
      <c r="BZ31" s="117">
        <f t="shared" si="8"/>
        <v>0</v>
      </c>
      <c r="CA31" s="89">
        <v>37818</v>
      </c>
      <c r="CB31" s="89" t="str">
        <f t="shared" si="2"/>
        <v/>
      </c>
      <c r="CC31" s="89" t="str">
        <f t="shared" si="3"/>
        <v/>
      </c>
    </row>
    <row r="32" spans="18:81" ht="10.5" customHeight="1" x14ac:dyDescent="0.2">
      <c r="R32" s="29" t="s">
        <v>50</v>
      </c>
      <c r="T32" s="224"/>
      <c r="U32" s="224"/>
      <c r="W32" s="251"/>
      <c r="X32" s="252"/>
      <c r="Y32" s="253"/>
      <c r="AB32" s="223"/>
      <c r="AC32" s="223"/>
      <c r="AD32" s="223"/>
      <c r="AE32" s="223"/>
      <c r="AF32" s="223"/>
      <c r="AG32" s="223"/>
      <c r="AH32" s="223"/>
      <c r="AJ32" s="234"/>
      <c r="AK32" s="235"/>
      <c r="AL32" s="236"/>
      <c r="AM32" s="237"/>
      <c r="AN32" s="238"/>
      <c r="AO32" s="242"/>
      <c r="AP32" s="243"/>
      <c r="AQ32" s="244"/>
      <c r="AS32" s="104">
        <v>0</v>
      </c>
      <c r="AT32" s="105" t="s">
        <v>80</v>
      </c>
      <c r="AU32" s="104">
        <v>0</v>
      </c>
      <c r="AV32" s="106" t="s">
        <v>98</v>
      </c>
      <c r="AW32" s="107">
        <f t="shared" si="0"/>
        <v>0</v>
      </c>
      <c r="AX32" s="88"/>
      <c r="BC32" s="113"/>
      <c r="BD32" s="99"/>
      <c r="BE32" s="99"/>
      <c r="BF32" s="114"/>
      <c r="BP32" s="123" t="s">
        <v>109</v>
      </c>
      <c r="BQ32" s="124" t="s">
        <v>12</v>
      </c>
      <c r="BR32" s="125">
        <v>3</v>
      </c>
      <c r="BS32" s="133">
        <v>4.08</v>
      </c>
      <c r="BT32" s="133">
        <v>5.3</v>
      </c>
      <c r="BU32" s="116">
        <f t="shared" si="4"/>
        <v>0</v>
      </c>
      <c r="BV32" s="116">
        <f t="shared" si="5"/>
        <v>1</v>
      </c>
      <c r="BW32" s="116">
        <f t="shared" si="6"/>
        <v>0</v>
      </c>
      <c r="BX32" s="111">
        <f t="shared" si="1"/>
        <v>0</v>
      </c>
      <c r="BY32" s="117">
        <f t="shared" si="7"/>
        <v>0</v>
      </c>
      <c r="BZ32" s="117">
        <f t="shared" si="8"/>
        <v>0</v>
      </c>
      <c r="CA32" s="89">
        <v>37818</v>
      </c>
      <c r="CB32" s="89" t="str">
        <f t="shared" si="2"/>
        <v/>
      </c>
      <c r="CC32" s="89" t="str">
        <f t="shared" si="3"/>
        <v/>
      </c>
    </row>
    <row r="33" spans="18:81" ht="10.5" customHeight="1" x14ac:dyDescent="0.2">
      <c r="R33" s="29" t="s">
        <v>51</v>
      </c>
      <c r="T33" s="224"/>
      <c r="U33" s="224"/>
      <c r="W33" s="228"/>
      <c r="X33" s="229"/>
      <c r="Y33" s="230"/>
      <c r="AJ33" s="30"/>
      <c r="AK33" s="30"/>
      <c r="AL33" s="30"/>
      <c r="AM33" s="30"/>
      <c r="AN33" s="30"/>
      <c r="AO33" s="30"/>
      <c r="AP33" s="30"/>
      <c r="AQ33" s="30"/>
      <c r="AR33" s="134" t="s">
        <v>230</v>
      </c>
      <c r="AS33" s="104">
        <v>0</v>
      </c>
      <c r="AT33" s="105" t="s">
        <v>80</v>
      </c>
      <c r="AU33" s="104">
        <v>0</v>
      </c>
      <c r="AV33" s="106" t="s">
        <v>98</v>
      </c>
      <c r="AW33" s="107">
        <f t="shared" si="0"/>
        <v>0</v>
      </c>
      <c r="AX33" s="88"/>
      <c r="BC33" s="113"/>
      <c r="BD33" s="99"/>
      <c r="BE33" s="99"/>
      <c r="BF33" s="114"/>
      <c r="BP33" s="90" t="s">
        <v>109</v>
      </c>
      <c r="BQ33" s="91" t="s">
        <v>13</v>
      </c>
      <c r="BR33" s="92">
        <v>1</v>
      </c>
      <c r="BS33" s="133">
        <v>5.69</v>
      </c>
      <c r="BT33" s="133">
        <v>6.85</v>
      </c>
      <c r="BU33" s="116">
        <f t="shared" si="4"/>
        <v>0</v>
      </c>
      <c r="BV33" s="116">
        <f t="shared" si="5"/>
        <v>0</v>
      </c>
      <c r="BW33" s="116">
        <f t="shared" si="6"/>
        <v>0</v>
      </c>
      <c r="BX33" s="111">
        <f t="shared" si="1"/>
        <v>0</v>
      </c>
      <c r="BY33" s="117">
        <f t="shared" si="7"/>
        <v>0</v>
      </c>
      <c r="BZ33" s="117">
        <f t="shared" si="8"/>
        <v>0</v>
      </c>
      <c r="CA33" s="89">
        <v>37818</v>
      </c>
      <c r="CB33" s="89" t="str">
        <f t="shared" si="2"/>
        <v/>
      </c>
      <c r="CC33" s="89" t="str">
        <f t="shared" si="3"/>
        <v/>
      </c>
    </row>
    <row r="34" spans="18:81" ht="10.5" customHeight="1" x14ac:dyDescent="0.2">
      <c r="R34" s="29" t="s">
        <v>52</v>
      </c>
      <c r="T34" s="224"/>
      <c r="U34" s="224"/>
      <c r="AB34" s="223" t="s">
        <v>53</v>
      </c>
      <c r="AC34" s="223"/>
      <c r="AD34" s="223"/>
      <c r="AE34" s="223"/>
      <c r="AF34" s="223"/>
      <c r="AG34" s="223"/>
      <c r="AH34" s="223"/>
      <c r="AJ34" s="231">
        <v>0</v>
      </c>
      <c r="AK34" s="232"/>
      <c r="AL34" s="233"/>
      <c r="AM34" s="237" t="s">
        <v>54</v>
      </c>
      <c r="AN34" s="238"/>
      <c r="AO34" s="239">
        <f>'Calcolatore Metri'!D9</f>
        <v>0</v>
      </c>
      <c r="AP34" s="240"/>
      <c r="AQ34" s="241"/>
      <c r="AR34" s="135" t="s">
        <v>232</v>
      </c>
      <c r="AS34" s="104">
        <v>0</v>
      </c>
      <c r="AT34" s="105" t="s">
        <v>80</v>
      </c>
      <c r="AU34" s="104">
        <v>0</v>
      </c>
      <c r="AV34" s="106" t="s">
        <v>98</v>
      </c>
      <c r="AW34" s="107">
        <f t="shared" si="0"/>
        <v>0</v>
      </c>
      <c r="AX34" s="88"/>
      <c r="BC34" s="113"/>
      <c r="BD34" s="99"/>
      <c r="BE34" s="99"/>
      <c r="BF34" s="114"/>
      <c r="BH34" s="316" t="s">
        <v>110</v>
      </c>
      <c r="BI34" s="317"/>
      <c r="BJ34" s="317"/>
      <c r="BK34" s="317"/>
      <c r="BL34" s="317"/>
      <c r="BM34" s="317"/>
      <c r="BN34" s="136"/>
      <c r="BP34" s="119" t="s">
        <v>109</v>
      </c>
      <c r="BQ34" s="120" t="s">
        <v>13</v>
      </c>
      <c r="BR34" s="121">
        <v>2</v>
      </c>
      <c r="BS34" s="133">
        <v>4.95</v>
      </c>
      <c r="BT34" s="133">
        <v>5.69</v>
      </c>
      <c r="BU34" s="116">
        <f t="shared" si="4"/>
        <v>0</v>
      </c>
      <c r="BV34" s="116">
        <f t="shared" si="5"/>
        <v>0</v>
      </c>
      <c r="BW34" s="116">
        <f t="shared" si="6"/>
        <v>0</v>
      </c>
      <c r="BX34" s="111">
        <f t="shared" si="1"/>
        <v>0</v>
      </c>
      <c r="BY34" s="117">
        <f t="shared" si="7"/>
        <v>0</v>
      </c>
      <c r="BZ34" s="117">
        <f t="shared" si="8"/>
        <v>0</v>
      </c>
      <c r="CA34" s="89">
        <v>37818</v>
      </c>
      <c r="CB34" s="89" t="str">
        <f t="shared" si="2"/>
        <v/>
      </c>
      <c r="CC34" s="89" t="str">
        <f t="shared" si="3"/>
        <v/>
      </c>
    </row>
    <row r="35" spans="18:81" ht="10.5" customHeight="1" x14ac:dyDescent="0.2">
      <c r="R35" s="29" t="s">
        <v>55</v>
      </c>
      <c r="T35" s="224"/>
      <c r="U35" s="224"/>
      <c r="AB35" s="223"/>
      <c r="AC35" s="223"/>
      <c r="AD35" s="223"/>
      <c r="AE35" s="223"/>
      <c r="AF35" s="223"/>
      <c r="AG35" s="223"/>
      <c r="AH35" s="223"/>
      <c r="AJ35" s="234"/>
      <c r="AK35" s="235"/>
      <c r="AL35" s="236"/>
      <c r="AM35" s="237"/>
      <c r="AN35" s="238"/>
      <c r="AO35" s="242"/>
      <c r="AP35" s="243"/>
      <c r="AQ35" s="244"/>
      <c r="AR35" s="137" t="s">
        <v>231</v>
      </c>
      <c r="AS35" s="104">
        <v>0</v>
      </c>
      <c r="AT35" s="105" t="s">
        <v>80</v>
      </c>
      <c r="AU35" s="104">
        <v>0</v>
      </c>
      <c r="AV35" s="106" t="s">
        <v>98</v>
      </c>
      <c r="AW35" s="107">
        <f t="shared" si="0"/>
        <v>0</v>
      </c>
      <c r="AX35" s="88"/>
      <c r="BC35" s="113"/>
      <c r="BD35" s="99"/>
      <c r="BE35" s="99"/>
      <c r="BF35" s="114"/>
      <c r="BH35" s="318"/>
      <c r="BI35" s="319"/>
      <c r="BJ35" s="319"/>
      <c r="BK35" s="319"/>
      <c r="BL35" s="319"/>
      <c r="BM35" s="319"/>
      <c r="BN35" s="138"/>
      <c r="BP35" s="123" t="s">
        <v>109</v>
      </c>
      <c r="BQ35" s="124" t="s">
        <v>13</v>
      </c>
      <c r="BR35" s="125">
        <v>3</v>
      </c>
      <c r="BS35" s="133">
        <v>3.41</v>
      </c>
      <c r="BT35" s="133">
        <v>4.95</v>
      </c>
      <c r="BU35" s="116">
        <f t="shared" si="4"/>
        <v>0</v>
      </c>
      <c r="BV35" s="116">
        <f t="shared" si="5"/>
        <v>1</v>
      </c>
      <c r="BW35" s="116">
        <f t="shared" si="6"/>
        <v>0</v>
      </c>
      <c r="BX35" s="111">
        <f t="shared" si="1"/>
        <v>0</v>
      </c>
      <c r="BY35" s="117">
        <f t="shared" si="7"/>
        <v>0</v>
      </c>
      <c r="BZ35" s="117">
        <f t="shared" si="8"/>
        <v>0</v>
      </c>
      <c r="CA35" s="89">
        <v>37818</v>
      </c>
      <c r="CB35" s="89" t="str">
        <f t="shared" si="2"/>
        <v/>
      </c>
      <c r="CC35" s="89" t="str">
        <f t="shared" si="3"/>
        <v/>
      </c>
    </row>
    <row r="36" spans="18:81" ht="10.5" customHeight="1" x14ac:dyDescent="0.2">
      <c r="R36" s="31"/>
      <c r="AJ36" s="30"/>
      <c r="AK36" s="30"/>
      <c r="AL36" s="30"/>
      <c r="AM36" s="30"/>
      <c r="AN36" s="30"/>
      <c r="AO36" s="30"/>
      <c r="AP36" s="30"/>
      <c r="AQ36" s="30"/>
      <c r="AR36" s="139"/>
      <c r="AS36" s="104">
        <v>0</v>
      </c>
      <c r="AT36" s="105" t="s">
        <v>80</v>
      </c>
      <c r="AU36" s="104">
        <v>0</v>
      </c>
      <c r="AV36" s="106" t="s">
        <v>98</v>
      </c>
      <c r="AW36" s="107">
        <f t="shared" si="0"/>
        <v>0</v>
      </c>
      <c r="AX36" s="88"/>
      <c r="BC36" s="113"/>
      <c r="BD36" s="99"/>
      <c r="BE36" s="99"/>
      <c r="BF36" s="114"/>
      <c r="BH36" s="140" t="s">
        <v>111</v>
      </c>
      <c r="BI36" s="141">
        <f>IF(AJ42&lt;=40.99,AJ42,0)</f>
        <v>0</v>
      </c>
      <c r="BJ36" s="141">
        <f>IF(AJ42&lt;=40.99,AJ42,0)</f>
        <v>0</v>
      </c>
      <c r="BK36" s="141">
        <f>IF(OR(BI36=0,BJ36=0),0,(SUM(BI36:BJ36)/2))</f>
        <v>0</v>
      </c>
      <c r="BL36" s="142">
        <v>1.4</v>
      </c>
      <c r="BM36" s="143">
        <f t="shared" ref="BM36:BM43" si="9">BK36*BL36</f>
        <v>0</v>
      </c>
      <c r="BN36" s="144">
        <f>IF(BM36&gt;53.3,53.3,BM36)</f>
        <v>0</v>
      </c>
      <c r="BO36" s="145">
        <v>40</v>
      </c>
      <c r="BP36" s="90" t="s">
        <v>109</v>
      </c>
      <c r="BQ36" s="91" t="s">
        <v>14</v>
      </c>
      <c r="BR36" s="92">
        <v>1</v>
      </c>
      <c r="BS36" s="133">
        <v>4.5599999999999996</v>
      </c>
      <c r="BT36" s="133">
        <v>5.31</v>
      </c>
      <c r="BU36" s="116">
        <f t="shared" si="4"/>
        <v>0</v>
      </c>
      <c r="BV36" s="116">
        <f t="shared" si="5"/>
        <v>0</v>
      </c>
      <c r="BW36" s="116">
        <f t="shared" si="6"/>
        <v>0</v>
      </c>
      <c r="BX36" s="111">
        <f t="shared" si="1"/>
        <v>0</v>
      </c>
      <c r="BY36" s="117">
        <f t="shared" si="7"/>
        <v>0</v>
      </c>
      <c r="BZ36" s="117">
        <f t="shared" si="8"/>
        <v>0</v>
      </c>
      <c r="CA36" s="89">
        <v>37818</v>
      </c>
      <c r="CB36" s="89" t="str">
        <f t="shared" si="2"/>
        <v/>
      </c>
      <c r="CC36" s="89" t="str">
        <f t="shared" si="3"/>
        <v/>
      </c>
    </row>
    <row r="37" spans="18:81" ht="10.5" customHeight="1" x14ac:dyDescent="0.2">
      <c r="R37" s="26" t="s">
        <v>56</v>
      </c>
      <c r="AB37" s="223" t="s">
        <v>57</v>
      </c>
      <c r="AC37" s="223"/>
      <c r="AD37" s="223"/>
      <c r="AE37" s="223"/>
      <c r="AF37" s="223"/>
      <c r="AG37" s="223"/>
      <c r="AH37" s="223"/>
      <c r="AJ37" s="231">
        <v>0</v>
      </c>
      <c r="AK37" s="232"/>
      <c r="AL37" s="233"/>
      <c r="AM37" s="237" t="s">
        <v>58</v>
      </c>
      <c r="AN37" s="238"/>
      <c r="AO37" s="239">
        <f>'Calcolatore Metri'!D10</f>
        <v>0</v>
      </c>
      <c r="AP37" s="240"/>
      <c r="AQ37" s="241"/>
      <c r="AS37" s="104">
        <v>0</v>
      </c>
      <c r="AT37" s="105" t="s">
        <v>80</v>
      </c>
      <c r="AU37" s="104">
        <v>0</v>
      </c>
      <c r="AV37" s="106" t="s">
        <v>98</v>
      </c>
      <c r="AW37" s="107">
        <f t="shared" si="0"/>
        <v>0</v>
      </c>
      <c r="AX37" s="88"/>
      <c r="BC37" s="113"/>
      <c r="BD37" s="99"/>
      <c r="BE37" s="99"/>
      <c r="BF37" s="127" t="str">
        <f>IF(W38="AA","A","")</f>
        <v/>
      </c>
      <c r="BH37" s="140" t="s">
        <v>112</v>
      </c>
      <c r="BI37" s="141">
        <f>IF(AJ42&lt;=50.99,AJ42,0)</f>
        <v>0</v>
      </c>
      <c r="BJ37" s="141">
        <f>IF(AJ42&gt;40.99,AJ42,0)</f>
        <v>0</v>
      </c>
      <c r="BK37" s="141">
        <f>IF(OR(BI37=0,BJ37=0),0,(SUM(BI37:BJ37)/2))</f>
        <v>0</v>
      </c>
      <c r="BL37" s="142">
        <v>1.3</v>
      </c>
      <c r="BM37" s="143">
        <f t="shared" si="9"/>
        <v>0</v>
      </c>
      <c r="BN37" s="144">
        <f>IF(BM37&gt;61.2,61.2,BM37)</f>
        <v>0</v>
      </c>
      <c r="BO37" s="145">
        <v>30</v>
      </c>
      <c r="BP37" s="119" t="s">
        <v>109</v>
      </c>
      <c r="BQ37" s="120" t="s">
        <v>14</v>
      </c>
      <c r="BR37" s="121">
        <v>2</v>
      </c>
      <c r="BS37" s="133">
        <v>3.8</v>
      </c>
      <c r="BT37" s="133">
        <v>4.5599999999999996</v>
      </c>
      <c r="BU37" s="116">
        <f t="shared" si="4"/>
        <v>0</v>
      </c>
      <c r="BV37" s="116">
        <f t="shared" si="5"/>
        <v>0</v>
      </c>
      <c r="BW37" s="116">
        <f t="shared" si="6"/>
        <v>0</v>
      </c>
      <c r="BX37" s="111">
        <f t="shared" si="1"/>
        <v>0</v>
      </c>
      <c r="BY37" s="117">
        <f t="shared" si="7"/>
        <v>0</v>
      </c>
      <c r="BZ37" s="117">
        <f t="shared" si="8"/>
        <v>0</v>
      </c>
      <c r="CA37" s="89">
        <v>37818</v>
      </c>
      <c r="CB37" s="89" t="str">
        <f t="shared" si="2"/>
        <v/>
      </c>
      <c r="CC37" s="89" t="str">
        <f t="shared" si="3"/>
        <v/>
      </c>
    </row>
    <row r="38" spans="18:81" ht="10.5" customHeight="1" x14ac:dyDescent="0.2">
      <c r="R38" s="29" t="s">
        <v>56</v>
      </c>
      <c r="T38" s="224"/>
      <c r="U38" s="224"/>
      <c r="W38" s="225" t="str">
        <f>CONCATENATE(BC38,BC39)</f>
        <v/>
      </c>
      <c r="X38" s="226"/>
      <c r="Y38" s="227"/>
      <c r="AB38" s="223"/>
      <c r="AC38" s="223"/>
      <c r="AD38" s="223"/>
      <c r="AE38" s="223"/>
      <c r="AF38" s="223"/>
      <c r="AG38" s="223"/>
      <c r="AH38" s="223"/>
      <c r="AJ38" s="234"/>
      <c r="AK38" s="235"/>
      <c r="AL38" s="236"/>
      <c r="AM38" s="237"/>
      <c r="AN38" s="238"/>
      <c r="AO38" s="242"/>
      <c r="AP38" s="243"/>
      <c r="AQ38" s="244"/>
      <c r="AS38" s="104">
        <v>0</v>
      </c>
      <c r="AT38" s="105" t="s">
        <v>80</v>
      </c>
      <c r="AU38" s="104">
        <v>0</v>
      </c>
      <c r="AV38" s="106" t="s">
        <v>98</v>
      </c>
      <c r="AW38" s="107">
        <f t="shared" si="0"/>
        <v>0</v>
      </c>
      <c r="AX38" s="88"/>
      <c r="BC38" s="130" t="str">
        <f>IF(T38="X","AA","")</f>
        <v/>
      </c>
      <c r="BD38" s="99"/>
      <c r="BE38" s="99"/>
      <c r="BF38" s="118" t="str">
        <f>IF(OR(W38="A",W38="AA"),"A","")</f>
        <v/>
      </c>
      <c r="BH38" s="140" t="s">
        <v>113</v>
      </c>
      <c r="BI38" s="141">
        <f>IF(AJ42&lt;=60.99,AJ42,0)</f>
        <v>0</v>
      </c>
      <c r="BJ38" s="141">
        <f>IF(AJ42&gt;50.99,AJ42,0)</f>
        <v>0</v>
      </c>
      <c r="BK38" s="141">
        <f t="shared" ref="BK38:BK43" si="10">IF(OR(BI38=0,BJ38=0),0,(SUM(BI38:BJ38)/2))</f>
        <v>0</v>
      </c>
      <c r="BL38" s="142">
        <v>1.2</v>
      </c>
      <c r="BM38" s="143">
        <f t="shared" si="9"/>
        <v>0</v>
      </c>
      <c r="BN38" s="144">
        <f>IF(BM38&gt;67.1,67.1,BM38)</f>
        <v>0</v>
      </c>
      <c r="BO38" s="145">
        <v>20</v>
      </c>
      <c r="BP38" s="123" t="s">
        <v>109</v>
      </c>
      <c r="BQ38" s="124" t="s">
        <v>14</v>
      </c>
      <c r="BR38" s="125">
        <v>3</v>
      </c>
      <c r="BS38" s="133">
        <v>3.04</v>
      </c>
      <c r="BT38" s="133">
        <v>3.8</v>
      </c>
      <c r="BU38" s="116">
        <f t="shared" si="4"/>
        <v>0</v>
      </c>
      <c r="BV38" s="116">
        <f t="shared" si="5"/>
        <v>1</v>
      </c>
      <c r="BW38" s="116">
        <f t="shared" si="6"/>
        <v>0</v>
      </c>
      <c r="BX38" s="111">
        <f t="shared" si="1"/>
        <v>0</v>
      </c>
      <c r="BY38" s="117">
        <f t="shared" si="7"/>
        <v>0</v>
      </c>
      <c r="BZ38" s="117">
        <f t="shared" si="8"/>
        <v>0</v>
      </c>
      <c r="CA38" s="89">
        <v>37818</v>
      </c>
      <c r="CB38" s="89" t="str">
        <f t="shared" si="2"/>
        <v/>
      </c>
      <c r="CC38" s="89" t="str">
        <f t="shared" si="3"/>
        <v/>
      </c>
    </row>
    <row r="39" spans="18:81" ht="10.5" customHeight="1" x14ac:dyDescent="0.2">
      <c r="R39" s="29" t="s">
        <v>59</v>
      </c>
      <c r="T39" s="224"/>
      <c r="U39" s="224"/>
      <c r="W39" s="228"/>
      <c r="X39" s="229"/>
      <c r="Y39" s="230"/>
      <c r="AS39" s="104">
        <v>0</v>
      </c>
      <c r="AT39" s="105" t="s">
        <v>80</v>
      </c>
      <c r="AU39" s="104">
        <v>0</v>
      </c>
      <c r="AV39" s="106" t="s">
        <v>98</v>
      </c>
      <c r="AW39" s="107">
        <f t="shared" si="0"/>
        <v>0</v>
      </c>
      <c r="AX39" s="88"/>
      <c r="BC39" s="132" t="str">
        <f>IF(T39="X","A","")</f>
        <v/>
      </c>
      <c r="BD39" s="99"/>
      <c r="BE39" s="99"/>
      <c r="BF39" s="114"/>
      <c r="BH39" s="140" t="s">
        <v>114</v>
      </c>
      <c r="BI39" s="141">
        <f>IF(AJ42&lt;=70.99,AJ42,0)</f>
        <v>0</v>
      </c>
      <c r="BJ39" s="141">
        <f>IF(AJ42&gt;60.99,AJ42,0)</f>
        <v>0</v>
      </c>
      <c r="BK39" s="141">
        <f t="shared" si="10"/>
        <v>0</v>
      </c>
      <c r="BL39" s="146">
        <f>IF($G$7="Trento",110%,100%)</f>
        <v>1.1000000000000001</v>
      </c>
      <c r="BM39" s="143">
        <f t="shared" si="9"/>
        <v>0</v>
      </c>
      <c r="BN39" s="144">
        <f>IF(BM39&gt;74.55,74.55,BM39)</f>
        <v>0</v>
      </c>
      <c r="BO39" s="147">
        <f>IF($G$7="Trento",10,0)</f>
        <v>10</v>
      </c>
      <c r="BP39" s="90"/>
      <c r="BQ39" s="91"/>
      <c r="BR39" s="92"/>
      <c r="BS39" s="133"/>
      <c r="BT39" s="133"/>
      <c r="BU39" s="116">
        <f t="shared" si="4"/>
        <v>0</v>
      </c>
      <c r="BV39" s="116">
        <f t="shared" si="5"/>
        <v>0</v>
      </c>
      <c r="BW39" s="116">
        <f t="shared" si="6"/>
        <v>0</v>
      </c>
      <c r="BX39" s="111">
        <f t="shared" si="1"/>
        <v>0</v>
      </c>
      <c r="BY39" s="117">
        <f t="shared" si="7"/>
        <v>0</v>
      </c>
      <c r="BZ39" s="117">
        <f t="shared" si="8"/>
        <v>0</v>
      </c>
      <c r="CA39" s="89">
        <v>37818</v>
      </c>
      <c r="CB39" s="89" t="str">
        <f t="shared" si="2"/>
        <v/>
      </c>
      <c r="CC39" s="89" t="str">
        <f t="shared" si="3"/>
        <v/>
      </c>
    </row>
    <row r="40" spans="18:81" ht="10.5" customHeight="1" x14ac:dyDescent="0.2">
      <c r="R40" s="29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S40" s="104">
        <v>0</v>
      </c>
      <c r="AT40" s="105" t="s">
        <v>80</v>
      </c>
      <c r="AU40" s="104">
        <v>0</v>
      </c>
      <c r="AV40" s="106" t="s">
        <v>98</v>
      </c>
      <c r="AW40" s="107">
        <f t="shared" si="0"/>
        <v>0</v>
      </c>
      <c r="AX40" s="88"/>
      <c r="BC40" s="113"/>
      <c r="BD40" s="99"/>
      <c r="BE40" s="99"/>
      <c r="BF40" s="114"/>
      <c r="BH40" s="140" t="s">
        <v>115</v>
      </c>
      <c r="BI40" s="141">
        <f>IF(AJ42&lt;=80.99,AJ42,0)</f>
        <v>0</v>
      </c>
      <c r="BJ40" s="141">
        <f>IF(AJ42&gt;70.99,AJ42,0)</f>
        <v>0</v>
      </c>
      <c r="BK40" s="141">
        <f t="shared" si="10"/>
        <v>0</v>
      </c>
      <c r="BL40" s="146">
        <f>IF($G$7="Trento",105%,100%)</f>
        <v>1.05</v>
      </c>
      <c r="BM40" s="143">
        <f t="shared" si="9"/>
        <v>0</v>
      </c>
      <c r="BN40" s="144">
        <f>IF(BM40&gt;80.99,80.99,BM40)</f>
        <v>0</v>
      </c>
      <c r="BO40" s="147">
        <f>IF($G$7="Trento",5,0)</f>
        <v>5</v>
      </c>
      <c r="BP40" s="119"/>
      <c r="BQ40" s="120"/>
      <c r="BR40" s="121"/>
      <c r="BS40" s="133"/>
      <c r="BT40" s="133"/>
      <c r="BU40" s="116">
        <f t="shared" si="4"/>
        <v>0</v>
      </c>
      <c r="BV40" s="116">
        <f t="shared" si="5"/>
        <v>0</v>
      </c>
      <c r="BW40" s="116">
        <f t="shared" si="6"/>
        <v>0</v>
      </c>
      <c r="BX40" s="111">
        <f t="shared" si="1"/>
        <v>0</v>
      </c>
      <c r="BY40" s="117">
        <f t="shared" si="7"/>
        <v>0</v>
      </c>
      <c r="BZ40" s="117">
        <f t="shared" si="8"/>
        <v>0</v>
      </c>
      <c r="CA40" s="89">
        <v>37818</v>
      </c>
      <c r="CB40" s="89" t="str">
        <f t="shared" si="2"/>
        <v/>
      </c>
      <c r="CC40" s="89" t="str">
        <f t="shared" si="3"/>
        <v/>
      </c>
    </row>
    <row r="41" spans="18:81" ht="10.5" customHeight="1" x14ac:dyDescent="0.2">
      <c r="R41" s="26" t="s">
        <v>60</v>
      </c>
      <c r="AS41" s="104">
        <v>0</v>
      </c>
      <c r="AT41" s="105" t="s">
        <v>80</v>
      </c>
      <c r="AU41" s="104">
        <v>0</v>
      </c>
      <c r="AV41" s="106" t="s">
        <v>98</v>
      </c>
      <c r="AW41" s="107">
        <f t="shared" si="0"/>
        <v>0</v>
      </c>
      <c r="AX41" s="88"/>
      <c r="BC41" s="113"/>
      <c r="BD41" s="99"/>
      <c r="BE41" s="99"/>
      <c r="BF41" s="114"/>
      <c r="BH41" s="140" t="s">
        <v>116</v>
      </c>
      <c r="BI41" s="141">
        <f>IF(AJ42&lt;=90.99,AJ42,0)</f>
        <v>0</v>
      </c>
      <c r="BJ41" s="141">
        <f>IF(AJ42&gt;80.99,AJ42,0)</f>
        <v>0</v>
      </c>
      <c r="BK41" s="141">
        <f t="shared" si="10"/>
        <v>0</v>
      </c>
      <c r="BL41" s="142">
        <v>1</v>
      </c>
      <c r="BM41" s="143">
        <f t="shared" si="9"/>
        <v>0</v>
      </c>
      <c r="BN41" s="144">
        <f>IF(BM41&gt;90.99,90.99,BM41)</f>
        <v>0</v>
      </c>
      <c r="BO41" s="145">
        <v>0</v>
      </c>
      <c r="BP41" s="123"/>
      <c r="BQ41" s="124"/>
      <c r="BR41" s="125"/>
      <c r="BS41" s="133"/>
      <c r="BT41" s="133"/>
      <c r="BU41" s="116">
        <f t="shared" si="4"/>
        <v>0</v>
      </c>
      <c r="BV41" s="116">
        <f t="shared" si="5"/>
        <v>0</v>
      </c>
      <c r="BW41" s="116">
        <f t="shared" si="6"/>
        <v>0</v>
      </c>
      <c r="BX41" s="111">
        <f t="shared" si="1"/>
        <v>0</v>
      </c>
      <c r="BY41" s="117">
        <f t="shared" si="7"/>
        <v>0</v>
      </c>
      <c r="BZ41" s="117">
        <f t="shared" si="8"/>
        <v>0</v>
      </c>
      <c r="CA41" s="89">
        <v>37818</v>
      </c>
      <c r="CB41" s="89" t="str">
        <f t="shared" si="2"/>
        <v/>
      </c>
      <c r="CC41" s="89" t="str">
        <f t="shared" si="3"/>
        <v/>
      </c>
    </row>
    <row r="42" spans="18:81" ht="10.5" customHeight="1" x14ac:dyDescent="0.2">
      <c r="R42" s="29" t="s">
        <v>61</v>
      </c>
      <c r="T42" s="224"/>
      <c r="U42" s="224"/>
      <c r="AB42" s="223" t="s">
        <v>62</v>
      </c>
      <c r="AC42" s="223"/>
      <c r="AD42" s="223"/>
      <c r="AE42" s="223"/>
      <c r="AF42" s="223"/>
      <c r="AG42" s="223"/>
      <c r="AH42" s="223"/>
      <c r="AJ42" s="245">
        <f>'Calcolatore Metri'!H7</f>
        <v>0</v>
      </c>
      <c r="AK42" s="246"/>
      <c r="AL42" s="246"/>
      <c r="AM42" s="246"/>
      <c r="AN42" s="246"/>
      <c r="AO42" s="246"/>
      <c r="AP42" s="246"/>
      <c r="AQ42" s="247"/>
      <c r="AS42" s="104">
        <v>0</v>
      </c>
      <c r="AT42" s="105" t="s">
        <v>80</v>
      </c>
      <c r="AU42" s="104">
        <v>0</v>
      </c>
      <c r="AV42" s="106" t="s">
        <v>98</v>
      </c>
      <c r="AW42" s="107">
        <f t="shared" si="0"/>
        <v>0</v>
      </c>
      <c r="AX42" s="88"/>
      <c r="BC42" s="130" t="s">
        <v>82</v>
      </c>
      <c r="BD42" s="99"/>
      <c r="BE42" s="99"/>
      <c r="BF42" s="114"/>
      <c r="BH42" s="140" t="s">
        <v>117</v>
      </c>
      <c r="BI42" s="141">
        <f>IF(AJ42&lt;=120,AJ42,0)</f>
        <v>0</v>
      </c>
      <c r="BJ42" s="141">
        <f>IF(AJ42&gt;90.99,AJ42,0)</f>
        <v>0</v>
      </c>
      <c r="BK42" s="141">
        <f t="shared" si="10"/>
        <v>0</v>
      </c>
      <c r="BL42" s="142">
        <v>0.95</v>
      </c>
      <c r="BM42" s="143">
        <f t="shared" si="9"/>
        <v>0</v>
      </c>
      <c r="BN42" s="144">
        <f>IF(AND(BM42&gt;0,BM42&lt;91),91,BM42)</f>
        <v>0</v>
      </c>
      <c r="BO42" s="145">
        <v>5</v>
      </c>
      <c r="BP42" s="90" t="s">
        <v>118</v>
      </c>
      <c r="BQ42" s="91" t="s">
        <v>12</v>
      </c>
      <c r="BR42" s="92">
        <v>1</v>
      </c>
      <c r="BS42" s="133">
        <v>6.13</v>
      </c>
      <c r="BT42" s="133">
        <v>6.9</v>
      </c>
      <c r="BU42" s="116">
        <f t="shared" si="4"/>
        <v>0</v>
      </c>
      <c r="BV42" s="116">
        <f t="shared" si="5"/>
        <v>0</v>
      </c>
      <c r="BW42" s="116">
        <f t="shared" si="6"/>
        <v>0</v>
      </c>
      <c r="BX42" s="111">
        <f t="shared" si="1"/>
        <v>0</v>
      </c>
      <c r="BY42" s="117">
        <f t="shared" si="7"/>
        <v>0</v>
      </c>
      <c r="BZ42" s="117">
        <f t="shared" si="8"/>
        <v>0</v>
      </c>
      <c r="CA42" s="89">
        <v>37818</v>
      </c>
      <c r="CB42" s="89" t="str">
        <f t="shared" si="2"/>
        <v/>
      </c>
      <c r="CC42" s="89" t="str">
        <f t="shared" si="3"/>
        <v/>
      </c>
    </row>
    <row r="43" spans="18:81" ht="10.5" customHeight="1" x14ac:dyDescent="0.2">
      <c r="R43" s="29" t="s">
        <v>63</v>
      </c>
      <c r="T43" s="224"/>
      <c r="U43" s="224"/>
      <c r="AB43" s="223"/>
      <c r="AC43" s="223"/>
      <c r="AD43" s="223"/>
      <c r="AE43" s="223"/>
      <c r="AF43" s="223"/>
      <c r="AG43" s="223"/>
      <c r="AH43" s="223"/>
      <c r="AJ43" s="248"/>
      <c r="AK43" s="249"/>
      <c r="AL43" s="249"/>
      <c r="AM43" s="249"/>
      <c r="AN43" s="249"/>
      <c r="AO43" s="249"/>
      <c r="AP43" s="249"/>
      <c r="AQ43" s="250"/>
      <c r="AS43" s="104">
        <v>0</v>
      </c>
      <c r="AT43" s="105" t="s">
        <v>80</v>
      </c>
      <c r="AU43" s="104">
        <v>0</v>
      </c>
      <c r="AV43" s="106" t="s">
        <v>98</v>
      </c>
      <c r="AW43" s="107">
        <f t="shared" si="0"/>
        <v>0</v>
      </c>
      <c r="AX43" s="88"/>
      <c r="BC43" s="132">
        <f>IF(G7="Trento",COUNTIF(T42:U48,"X"),COUNTIF(T42:U46,"X"))</f>
        <v>0</v>
      </c>
      <c r="BD43" s="99"/>
      <c r="BE43" s="99"/>
      <c r="BF43" s="114"/>
      <c r="BH43" s="140" t="s">
        <v>119</v>
      </c>
      <c r="BI43" s="141">
        <f>IF(AJ42&gt;120,AJ42,0)</f>
        <v>0</v>
      </c>
      <c r="BJ43" s="141">
        <f>IF(AJ42&gt;120,AJ42,0)</f>
        <v>0</v>
      </c>
      <c r="BK43" s="141">
        <f t="shared" si="10"/>
        <v>0</v>
      </c>
      <c r="BL43" s="142">
        <v>0.9</v>
      </c>
      <c r="BM43" s="143">
        <f t="shared" si="9"/>
        <v>0</v>
      </c>
      <c r="BN43" s="144">
        <f>IF(AND(BM43&gt;0,BM43&lt;114),114,BM43)</f>
        <v>0</v>
      </c>
      <c r="BO43" s="145">
        <v>10</v>
      </c>
      <c r="BP43" s="119" t="s">
        <v>118</v>
      </c>
      <c r="BQ43" s="120" t="s">
        <v>12</v>
      </c>
      <c r="BR43" s="121">
        <v>2</v>
      </c>
      <c r="BS43" s="133">
        <v>5.72</v>
      </c>
      <c r="BT43" s="133">
        <v>6.13</v>
      </c>
      <c r="BU43" s="116">
        <f t="shared" si="4"/>
        <v>0</v>
      </c>
      <c r="BV43" s="116">
        <f t="shared" si="5"/>
        <v>0</v>
      </c>
      <c r="BW43" s="116">
        <f t="shared" si="6"/>
        <v>0</v>
      </c>
      <c r="BX43" s="111">
        <f t="shared" si="1"/>
        <v>0</v>
      </c>
      <c r="BY43" s="117">
        <f t="shared" si="7"/>
        <v>0</v>
      </c>
      <c r="BZ43" s="117">
        <f t="shared" si="8"/>
        <v>0</v>
      </c>
      <c r="CA43" s="89">
        <v>37818</v>
      </c>
      <c r="CB43" s="89" t="str">
        <f t="shared" si="2"/>
        <v/>
      </c>
      <c r="CC43" s="89" t="str">
        <f t="shared" si="3"/>
        <v/>
      </c>
    </row>
    <row r="44" spans="18:81" ht="10.5" customHeight="1" x14ac:dyDescent="0.2">
      <c r="R44" s="29" t="s">
        <v>64</v>
      </c>
      <c r="T44" s="224"/>
      <c r="U44" s="224"/>
      <c r="W44" s="225" t="str">
        <f>IF(BC43=0,"B",IF(BC43&gt;=2,"A","M"))</f>
        <v>B</v>
      </c>
      <c r="X44" s="226"/>
      <c r="Y44" s="227"/>
      <c r="AQ44" s="28" t="s">
        <v>65</v>
      </c>
      <c r="AS44" s="104">
        <v>0</v>
      </c>
      <c r="AT44" s="105" t="s">
        <v>80</v>
      </c>
      <c r="AU44" s="104">
        <v>0</v>
      </c>
      <c r="AV44" s="106" t="s">
        <v>98</v>
      </c>
      <c r="AW44" s="107">
        <f t="shared" si="0"/>
        <v>0</v>
      </c>
      <c r="AX44" s="88"/>
      <c r="BC44" s="113"/>
      <c r="BD44" s="99"/>
      <c r="BE44" s="99"/>
      <c r="BF44" s="118" t="str">
        <f>W44</f>
        <v>B</v>
      </c>
      <c r="BH44" s="140"/>
      <c r="BI44" s="148"/>
      <c r="BJ44" s="148"/>
      <c r="BK44" s="148"/>
      <c r="BL44" s="148"/>
      <c r="BM44" s="148"/>
      <c r="BN44" s="138"/>
      <c r="BP44" s="123" t="s">
        <v>118</v>
      </c>
      <c r="BQ44" s="124" t="s">
        <v>12</v>
      </c>
      <c r="BR44" s="125">
        <v>3</v>
      </c>
      <c r="BS44" s="133">
        <v>4.9000000000000004</v>
      </c>
      <c r="BT44" s="133">
        <v>5.72</v>
      </c>
      <c r="BU44" s="116">
        <f t="shared" si="4"/>
        <v>0</v>
      </c>
      <c r="BV44" s="116">
        <f t="shared" si="5"/>
        <v>1</v>
      </c>
      <c r="BW44" s="116">
        <f t="shared" si="6"/>
        <v>0</v>
      </c>
      <c r="BX44" s="111">
        <f t="shared" ref="BX44:BX69" si="11">BU44*BV44*BW44</f>
        <v>0</v>
      </c>
      <c r="BY44" s="117">
        <f t="shared" si="7"/>
        <v>0</v>
      </c>
      <c r="BZ44" s="117">
        <f t="shared" si="8"/>
        <v>0</v>
      </c>
      <c r="CA44" s="89">
        <v>37818</v>
      </c>
      <c r="CB44" s="89" t="str">
        <f t="shared" ref="CB44:CB69" si="12">IF(BX44=1,CA44,"")</f>
        <v/>
      </c>
      <c r="CC44" s="89" t="str">
        <f t="shared" ref="CC44:CC69" si="13">IF(BX44=1,PROPER(BP44),"")</f>
        <v/>
      </c>
    </row>
    <row r="45" spans="18:81" ht="10.5" customHeight="1" x14ac:dyDescent="0.2">
      <c r="R45" s="29" t="s">
        <v>66</v>
      </c>
      <c r="T45" s="224"/>
      <c r="U45" s="224"/>
      <c r="W45" s="251"/>
      <c r="X45" s="252"/>
      <c r="Y45" s="253"/>
      <c r="AB45" s="254" t="str">
        <f>'Calcolatore Metri'!S11</f>
        <v/>
      </c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S45" s="104">
        <v>0</v>
      </c>
      <c r="AT45" s="105" t="s">
        <v>80</v>
      </c>
      <c r="AU45" s="104">
        <v>0</v>
      </c>
      <c r="AV45" s="106" t="s">
        <v>98</v>
      </c>
      <c r="AW45" s="107">
        <f t="shared" si="0"/>
        <v>0</v>
      </c>
      <c r="AX45" s="88"/>
      <c r="BC45" s="113"/>
      <c r="BD45" s="99"/>
      <c r="BE45" s="99"/>
      <c r="BF45" s="114"/>
      <c r="BH45" s="149" t="str">
        <f>CONCATENATE(BI47,BI48,BI49,BI50,BI51,BI52,BI53,BI54)</f>
        <v/>
      </c>
      <c r="BI45" s="143">
        <f>SUM(BN36:BN43)</f>
        <v>0</v>
      </c>
      <c r="BJ45" s="148"/>
      <c r="BK45" s="148"/>
      <c r="BL45" s="148"/>
      <c r="BM45" s="148"/>
      <c r="BN45" s="100"/>
      <c r="BP45" s="90" t="s">
        <v>118</v>
      </c>
      <c r="BQ45" s="91" t="s">
        <v>13</v>
      </c>
      <c r="BR45" s="92">
        <v>1</v>
      </c>
      <c r="BS45" s="133">
        <v>4.5599999999999996</v>
      </c>
      <c r="BT45" s="133">
        <v>5.31</v>
      </c>
      <c r="BU45" s="116">
        <f t="shared" si="4"/>
        <v>0</v>
      </c>
      <c r="BV45" s="116">
        <f t="shared" si="5"/>
        <v>0</v>
      </c>
      <c r="BW45" s="116">
        <f t="shared" si="6"/>
        <v>0</v>
      </c>
      <c r="BX45" s="111">
        <f t="shared" si="11"/>
        <v>0</v>
      </c>
      <c r="BY45" s="117">
        <f t="shared" si="7"/>
        <v>0</v>
      </c>
      <c r="BZ45" s="117">
        <f t="shared" si="8"/>
        <v>0</v>
      </c>
      <c r="CA45" s="89">
        <v>37818</v>
      </c>
      <c r="CB45" s="89" t="str">
        <f t="shared" si="12"/>
        <v/>
      </c>
      <c r="CC45" s="89" t="str">
        <f t="shared" si="13"/>
        <v/>
      </c>
    </row>
    <row r="46" spans="18:81" ht="10.5" customHeight="1" x14ac:dyDescent="0.2">
      <c r="R46" s="29" t="s">
        <v>67</v>
      </c>
      <c r="T46" s="224"/>
      <c r="U46" s="224"/>
      <c r="W46" s="228"/>
      <c r="X46" s="229"/>
      <c r="Y46" s="230"/>
      <c r="AB46" s="254" t="str">
        <f>'Calcolatore Metri'!T11</f>
        <v/>
      </c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S46" s="104">
        <v>0</v>
      </c>
      <c r="AT46" s="105" t="s">
        <v>80</v>
      </c>
      <c r="AU46" s="104">
        <v>0</v>
      </c>
      <c r="AV46" s="106" t="s">
        <v>98</v>
      </c>
      <c r="AW46" s="107">
        <f t="shared" si="0"/>
        <v>0</v>
      </c>
      <c r="AX46" s="88"/>
      <c r="BC46" s="113"/>
      <c r="BD46" s="99"/>
      <c r="BE46" s="99"/>
      <c r="BF46" s="114"/>
      <c r="BH46" s="98"/>
      <c r="BI46" s="99"/>
      <c r="BJ46" s="99"/>
      <c r="BK46" s="99"/>
      <c r="BL46" s="320" t="s">
        <v>120</v>
      </c>
      <c r="BM46" s="321"/>
      <c r="BN46" s="322"/>
      <c r="BP46" s="119" t="s">
        <v>118</v>
      </c>
      <c r="BQ46" s="120" t="s">
        <v>13</v>
      </c>
      <c r="BR46" s="121">
        <v>2</v>
      </c>
      <c r="BS46" s="133">
        <v>3.8</v>
      </c>
      <c r="BT46" s="133">
        <v>4.5599999999999996</v>
      </c>
      <c r="BU46" s="116">
        <f t="shared" si="4"/>
        <v>0</v>
      </c>
      <c r="BV46" s="116">
        <f t="shared" si="5"/>
        <v>0</v>
      </c>
      <c r="BW46" s="116">
        <f t="shared" si="6"/>
        <v>0</v>
      </c>
      <c r="BX46" s="111">
        <f t="shared" si="11"/>
        <v>0</v>
      </c>
      <c r="BY46" s="117">
        <f t="shared" si="7"/>
        <v>0</v>
      </c>
      <c r="BZ46" s="117">
        <f t="shared" si="8"/>
        <v>0</v>
      </c>
      <c r="CA46" s="89">
        <v>37818</v>
      </c>
      <c r="CB46" s="89" t="str">
        <f t="shared" si="12"/>
        <v/>
      </c>
      <c r="CC46" s="89" t="str">
        <f t="shared" si="13"/>
        <v/>
      </c>
    </row>
    <row r="47" spans="18:81" ht="10.5" customHeight="1" x14ac:dyDescent="0.2">
      <c r="R47" s="29" t="s">
        <v>68</v>
      </c>
      <c r="T47" s="224"/>
      <c r="U47" s="224"/>
      <c r="AS47" s="104">
        <v>0</v>
      </c>
      <c r="AT47" s="105" t="s">
        <v>80</v>
      </c>
      <c r="AU47" s="104">
        <v>0</v>
      </c>
      <c r="AV47" s="106" t="s">
        <v>98</v>
      </c>
      <c r="AW47" s="107">
        <f t="shared" si="0"/>
        <v>0</v>
      </c>
      <c r="AX47" s="88"/>
      <c r="BC47" s="113"/>
      <c r="BD47" s="99"/>
      <c r="BE47" s="99"/>
      <c r="BF47" s="114"/>
      <c r="BH47" s="98"/>
      <c r="BI47" s="150" t="str">
        <f t="shared" ref="BI47:BI54" si="14">IF(BM36&lt;&gt;0,BH36,"")</f>
        <v/>
      </c>
      <c r="BJ47" s="151" t="str">
        <f t="shared" ref="BJ47:BJ52" si="15">IF(BI47&lt;&gt;"",CONCATENATE("Aumento ",BK47,"%"),"")</f>
        <v/>
      </c>
      <c r="BK47" s="152">
        <f>BO36</f>
        <v>40</v>
      </c>
      <c r="BL47" s="323"/>
      <c r="BM47" s="324"/>
      <c r="BN47" s="325"/>
      <c r="BP47" s="123" t="s">
        <v>118</v>
      </c>
      <c r="BQ47" s="124" t="s">
        <v>13</v>
      </c>
      <c r="BR47" s="125">
        <v>3</v>
      </c>
      <c r="BS47" s="133">
        <v>3.04</v>
      </c>
      <c r="BT47" s="133">
        <v>3.8</v>
      </c>
      <c r="BU47" s="116">
        <f t="shared" si="4"/>
        <v>0</v>
      </c>
      <c r="BV47" s="116">
        <f t="shared" si="5"/>
        <v>1</v>
      </c>
      <c r="BW47" s="116">
        <f t="shared" si="6"/>
        <v>0</v>
      </c>
      <c r="BX47" s="111">
        <f t="shared" si="11"/>
        <v>0</v>
      </c>
      <c r="BY47" s="117">
        <f t="shared" si="7"/>
        <v>0</v>
      </c>
      <c r="BZ47" s="117">
        <f t="shared" si="8"/>
        <v>0</v>
      </c>
      <c r="CA47" s="89">
        <v>37818</v>
      </c>
      <c r="CB47" s="89" t="str">
        <f t="shared" si="12"/>
        <v/>
      </c>
      <c r="CC47" s="89" t="str">
        <f t="shared" si="13"/>
        <v/>
      </c>
    </row>
    <row r="48" spans="18:81" ht="10.5" customHeight="1" x14ac:dyDescent="0.2">
      <c r="R48" s="29" t="s">
        <v>69</v>
      </c>
      <c r="T48" s="224"/>
      <c r="U48" s="224"/>
      <c r="AB48" s="223" t="s">
        <v>70</v>
      </c>
      <c r="AC48" s="223"/>
      <c r="AD48" s="223"/>
      <c r="AE48" s="223"/>
      <c r="AF48" s="223"/>
      <c r="AG48" s="223"/>
      <c r="AH48" s="223"/>
      <c r="AJ48" s="310">
        <f>'Calcolatore Metri'!P11</f>
        <v>0</v>
      </c>
      <c r="AK48" s="329"/>
      <c r="AL48" s="329"/>
      <c r="AM48" s="329"/>
      <c r="AN48" s="329"/>
      <c r="AO48" s="329"/>
      <c r="AP48" s="329"/>
      <c r="AQ48" s="330"/>
      <c r="AS48" s="104">
        <v>0</v>
      </c>
      <c r="AT48" s="105" t="s">
        <v>80</v>
      </c>
      <c r="AU48" s="104">
        <v>0</v>
      </c>
      <c r="AV48" s="106" t="s">
        <v>98</v>
      </c>
      <c r="AW48" s="107">
        <f t="shared" si="0"/>
        <v>0</v>
      </c>
      <c r="AX48" s="88"/>
      <c r="BC48" s="113"/>
      <c r="BD48" s="99"/>
      <c r="BE48" s="99"/>
      <c r="BF48" s="114"/>
      <c r="BH48" s="98"/>
      <c r="BI48" s="150" t="str">
        <f t="shared" si="14"/>
        <v/>
      </c>
      <c r="BJ48" s="151" t="str">
        <f t="shared" si="15"/>
        <v/>
      </c>
      <c r="BK48" s="152">
        <f t="shared" ref="BK48:BK54" si="16">BO37</f>
        <v>30</v>
      </c>
      <c r="BL48" s="323"/>
      <c r="BM48" s="324"/>
      <c r="BN48" s="325"/>
      <c r="BP48" s="90"/>
      <c r="BQ48" s="91"/>
      <c r="BR48" s="92"/>
      <c r="BS48" s="133"/>
      <c r="BT48" s="133"/>
      <c r="BU48" s="116">
        <f t="shared" si="4"/>
        <v>0</v>
      </c>
      <c r="BV48" s="116">
        <f t="shared" si="5"/>
        <v>0</v>
      </c>
      <c r="BW48" s="116">
        <f t="shared" si="6"/>
        <v>0</v>
      </c>
      <c r="BX48" s="111">
        <f t="shared" si="11"/>
        <v>0</v>
      </c>
      <c r="BY48" s="117">
        <f t="shared" si="7"/>
        <v>0</v>
      </c>
      <c r="BZ48" s="117">
        <f t="shared" si="8"/>
        <v>0</v>
      </c>
      <c r="CA48" s="89">
        <v>37818</v>
      </c>
      <c r="CB48" s="89" t="str">
        <f t="shared" si="12"/>
        <v/>
      </c>
      <c r="CC48" s="89" t="str">
        <f t="shared" si="13"/>
        <v/>
      </c>
    </row>
    <row r="49" spans="1:81" ht="10.5" customHeight="1" x14ac:dyDescent="0.2">
      <c r="R49" s="29"/>
      <c r="AB49" s="223"/>
      <c r="AC49" s="223"/>
      <c r="AD49" s="223"/>
      <c r="AE49" s="223"/>
      <c r="AF49" s="223"/>
      <c r="AG49" s="223"/>
      <c r="AH49" s="223"/>
      <c r="AJ49" s="331"/>
      <c r="AK49" s="332"/>
      <c r="AL49" s="332"/>
      <c r="AM49" s="332"/>
      <c r="AN49" s="332"/>
      <c r="AO49" s="332"/>
      <c r="AP49" s="332"/>
      <c r="AQ49" s="333"/>
      <c r="AW49" s="153"/>
      <c r="BC49" s="113"/>
      <c r="BD49" s="99"/>
      <c r="BE49" s="99"/>
      <c r="BF49" s="114"/>
      <c r="BH49" s="98"/>
      <c r="BI49" s="150" t="str">
        <f t="shared" si="14"/>
        <v/>
      </c>
      <c r="BJ49" s="151" t="str">
        <f t="shared" si="15"/>
        <v/>
      </c>
      <c r="BK49" s="152">
        <f t="shared" si="16"/>
        <v>20</v>
      </c>
      <c r="BL49" s="323"/>
      <c r="BM49" s="324"/>
      <c r="BN49" s="325"/>
      <c r="BP49" s="119"/>
      <c r="BQ49" s="120"/>
      <c r="BR49" s="121"/>
      <c r="BS49" s="133"/>
      <c r="BT49" s="133"/>
      <c r="BU49" s="116">
        <f t="shared" si="4"/>
        <v>0</v>
      </c>
      <c r="BV49" s="116">
        <f t="shared" si="5"/>
        <v>0</v>
      </c>
      <c r="BW49" s="116">
        <f t="shared" si="6"/>
        <v>0</v>
      </c>
      <c r="BX49" s="111">
        <f t="shared" si="11"/>
        <v>0</v>
      </c>
      <c r="BY49" s="117">
        <f t="shared" si="7"/>
        <v>0</v>
      </c>
      <c r="BZ49" s="117">
        <f t="shared" si="8"/>
        <v>0</v>
      </c>
      <c r="CA49" s="89">
        <v>37818</v>
      </c>
      <c r="CB49" s="89" t="str">
        <f t="shared" si="12"/>
        <v/>
      </c>
      <c r="CC49" s="89" t="str">
        <f t="shared" si="13"/>
        <v/>
      </c>
    </row>
    <row r="50" spans="1:81" ht="10.5" customHeight="1" x14ac:dyDescent="0.2">
      <c r="R50" s="26" t="s">
        <v>71</v>
      </c>
      <c r="BC50" s="113"/>
      <c r="BD50" s="99"/>
      <c r="BE50" s="99"/>
      <c r="BF50" s="114"/>
      <c r="BH50" s="98"/>
      <c r="BI50" s="150" t="str">
        <f t="shared" si="14"/>
        <v/>
      </c>
      <c r="BJ50" s="151" t="str">
        <f t="shared" si="15"/>
        <v/>
      </c>
      <c r="BK50" s="152">
        <f t="shared" si="16"/>
        <v>10</v>
      </c>
      <c r="BL50" s="323"/>
      <c r="BM50" s="324"/>
      <c r="BN50" s="325"/>
      <c r="BP50" s="123"/>
      <c r="BQ50" s="124"/>
      <c r="BR50" s="125"/>
      <c r="BS50" s="133"/>
      <c r="BT50" s="133"/>
      <c r="BU50" s="116">
        <f t="shared" si="4"/>
        <v>0</v>
      </c>
      <c r="BV50" s="116">
        <f t="shared" si="5"/>
        <v>0</v>
      </c>
      <c r="BW50" s="116">
        <f t="shared" si="6"/>
        <v>0</v>
      </c>
      <c r="BX50" s="111">
        <f t="shared" si="11"/>
        <v>0</v>
      </c>
      <c r="BY50" s="117">
        <f t="shared" si="7"/>
        <v>0</v>
      </c>
      <c r="BZ50" s="117">
        <f t="shared" si="8"/>
        <v>0</v>
      </c>
      <c r="CA50" s="89">
        <v>37818</v>
      </c>
      <c r="CB50" s="89" t="str">
        <f t="shared" si="12"/>
        <v/>
      </c>
      <c r="CC50" s="89" t="str">
        <f t="shared" si="13"/>
        <v/>
      </c>
    </row>
    <row r="51" spans="1:81" ht="10.5" customHeight="1" x14ac:dyDescent="0.2">
      <c r="R51" s="29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BC51" s="113"/>
      <c r="BD51" s="99"/>
      <c r="BE51" s="99"/>
      <c r="BF51" s="114"/>
      <c r="BH51" s="98"/>
      <c r="BI51" s="150" t="str">
        <f t="shared" si="14"/>
        <v/>
      </c>
      <c r="BJ51" s="151" t="str">
        <f t="shared" si="15"/>
        <v/>
      </c>
      <c r="BK51" s="152">
        <f t="shared" si="16"/>
        <v>5</v>
      </c>
      <c r="BL51" s="323"/>
      <c r="BM51" s="324"/>
      <c r="BN51" s="325"/>
      <c r="BP51" s="90" t="s">
        <v>121</v>
      </c>
      <c r="BQ51" s="91" t="s">
        <v>12</v>
      </c>
      <c r="BR51" s="92">
        <v>1</v>
      </c>
      <c r="BS51" s="133">
        <v>5.38</v>
      </c>
      <c r="BT51" s="133">
        <v>6.51</v>
      </c>
      <c r="BU51" s="116">
        <f t="shared" si="4"/>
        <v>0</v>
      </c>
      <c r="BV51" s="116">
        <f t="shared" si="5"/>
        <v>0</v>
      </c>
      <c r="BW51" s="116">
        <f t="shared" si="6"/>
        <v>0</v>
      </c>
      <c r="BX51" s="111">
        <f t="shared" si="11"/>
        <v>0</v>
      </c>
      <c r="BY51" s="117">
        <f t="shared" si="7"/>
        <v>0</v>
      </c>
      <c r="BZ51" s="117">
        <f t="shared" si="8"/>
        <v>0</v>
      </c>
      <c r="CA51" s="89">
        <v>37818</v>
      </c>
      <c r="CB51" s="89" t="str">
        <f t="shared" si="12"/>
        <v/>
      </c>
      <c r="CC51" s="89" t="str">
        <f t="shared" si="13"/>
        <v/>
      </c>
    </row>
    <row r="52" spans="1:81" ht="10.5" customHeight="1" x14ac:dyDescent="0.2">
      <c r="B52" s="223" t="s">
        <v>72</v>
      </c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33"/>
      <c r="T52" s="334"/>
      <c r="U52" s="334"/>
      <c r="V52" s="33"/>
      <c r="W52" s="225" t="str">
        <f>BF55</f>
        <v>M</v>
      </c>
      <c r="X52" s="226"/>
      <c r="Y52" s="227"/>
      <c r="BC52" s="154" t="s">
        <v>83</v>
      </c>
      <c r="BD52" s="155">
        <f>IF(T52="X",1,0)</f>
        <v>0</v>
      </c>
      <c r="BE52" s="99"/>
      <c r="BF52" s="114"/>
      <c r="BH52" s="98"/>
      <c r="BI52" s="150" t="str">
        <f t="shared" si="14"/>
        <v/>
      </c>
      <c r="BJ52" s="151" t="str">
        <f t="shared" si="15"/>
        <v/>
      </c>
      <c r="BK52" s="152">
        <f t="shared" si="16"/>
        <v>0</v>
      </c>
      <c r="BL52" s="323"/>
      <c r="BM52" s="324"/>
      <c r="BN52" s="325"/>
      <c r="BP52" s="119" t="s">
        <v>121</v>
      </c>
      <c r="BQ52" s="120" t="s">
        <v>12</v>
      </c>
      <c r="BR52" s="121">
        <v>2</v>
      </c>
      <c r="BS52" s="133">
        <v>4.68</v>
      </c>
      <c r="BT52" s="133">
        <v>5.95</v>
      </c>
      <c r="BU52" s="116">
        <f t="shared" si="4"/>
        <v>0</v>
      </c>
      <c r="BV52" s="116">
        <f t="shared" si="5"/>
        <v>0</v>
      </c>
      <c r="BW52" s="116">
        <f t="shared" si="6"/>
        <v>0</v>
      </c>
      <c r="BX52" s="111">
        <f t="shared" si="11"/>
        <v>0</v>
      </c>
      <c r="BY52" s="117">
        <f t="shared" si="7"/>
        <v>0</v>
      </c>
      <c r="BZ52" s="117">
        <f t="shared" si="8"/>
        <v>0</v>
      </c>
      <c r="CA52" s="89">
        <v>37818</v>
      </c>
      <c r="CB52" s="89" t="str">
        <f t="shared" si="12"/>
        <v/>
      </c>
      <c r="CC52" s="89" t="str">
        <f t="shared" si="13"/>
        <v/>
      </c>
    </row>
    <row r="53" spans="1:81" ht="10.5" customHeight="1" x14ac:dyDescent="0.2"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33"/>
      <c r="T53" s="334"/>
      <c r="U53" s="334"/>
      <c r="V53" s="33"/>
      <c r="W53" s="251"/>
      <c r="X53" s="252"/>
      <c r="Y53" s="253"/>
      <c r="AB53" s="296" t="s">
        <v>73</v>
      </c>
      <c r="AC53" s="297"/>
      <c r="AD53" s="297"/>
      <c r="AE53" s="297"/>
      <c r="AF53" s="297"/>
      <c r="AG53" s="297"/>
      <c r="AH53" s="297"/>
      <c r="AI53" s="297"/>
      <c r="AJ53" s="297"/>
      <c r="AK53" s="297"/>
      <c r="AL53" s="297"/>
      <c r="AM53" s="297"/>
      <c r="AN53" s="297"/>
      <c r="AO53" s="297"/>
      <c r="AP53" s="297"/>
      <c r="AQ53" s="298"/>
      <c r="BC53" s="154" t="s">
        <v>84</v>
      </c>
      <c r="BD53" s="155">
        <f>IF(X56="X",2,0)</f>
        <v>0</v>
      </c>
      <c r="BE53" s="99"/>
      <c r="BF53" s="114"/>
      <c r="BH53" s="98"/>
      <c r="BI53" s="150" t="str">
        <f t="shared" si="14"/>
        <v/>
      </c>
      <c r="BJ53" s="151" t="str">
        <f>IF(BI53&lt;&gt;"",CONCATENATE("Riduzione ",BK53,"%"),"")</f>
        <v/>
      </c>
      <c r="BK53" s="152">
        <f t="shared" si="16"/>
        <v>5</v>
      </c>
      <c r="BL53" s="323"/>
      <c r="BM53" s="324"/>
      <c r="BN53" s="325"/>
      <c r="BP53" s="123" t="s">
        <v>121</v>
      </c>
      <c r="BQ53" s="124" t="s">
        <v>12</v>
      </c>
      <c r="BR53" s="125">
        <v>3</v>
      </c>
      <c r="BS53" s="133">
        <v>3.67</v>
      </c>
      <c r="BT53" s="133">
        <v>4.49</v>
      </c>
      <c r="BU53" s="116">
        <f t="shared" si="4"/>
        <v>0</v>
      </c>
      <c r="BV53" s="116">
        <f t="shared" si="5"/>
        <v>1</v>
      </c>
      <c r="BW53" s="116">
        <f t="shared" si="6"/>
        <v>0</v>
      </c>
      <c r="BX53" s="111">
        <f t="shared" si="11"/>
        <v>0</v>
      </c>
      <c r="BY53" s="117">
        <f t="shared" si="7"/>
        <v>0</v>
      </c>
      <c r="BZ53" s="117">
        <f t="shared" si="8"/>
        <v>0</v>
      </c>
      <c r="CA53" s="89">
        <v>37818</v>
      </c>
      <c r="CB53" s="89" t="str">
        <f t="shared" si="12"/>
        <v/>
      </c>
      <c r="CC53" s="89" t="str">
        <f t="shared" si="13"/>
        <v/>
      </c>
    </row>
    <row r="54" spans="1:81" ht="10.5" customHeight="1" x14ac:dyDescent="0.2"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33"/>
      <c r="T54" s="255" t="s">
        <v>74</v>
      </c>
      <c r="U54" s="255"/>
      <c r="V54" s="33"/>
      <c r="W54" s="228"/>
      <c r="X54" s="229"/>
      <c r="Y54" s="230"/>
      <c r="AB54" s="299"/>
      <c r="AC54" s="300"/>
      <c r="AD54" s="300"/>
      <c r="AE54" s="300"/>
      <c r="AF54" s="300"/>
      <c r="AG54" s="300"/>
      <c r="AH54" s="300"/>
      <c r="AI54" s="300"/>
      <c r="AJ54" s="300"/>
      <c r="AK54" s="300"/>
      <c r="AL54" s="300"/>
      <c r="AM54" s="300"/>
      <c r="AN54" s="300"/>
      <c r="AO54" s="300"/>
      <c r="AP54" s="300"/>
      <c r="AQ54" s="301"/>
      <c r="BC54" s="154" t="s">
        <v>85</v>
      </c>
      <c r="BD54" s="155">
        <f>IF(P56="X",2,0)</f>
        <v>0</v>
      </c>
      <c r="BE54" s="99"/>
      <c r="BF54" s="114"/>
      <c r="BH54" s="156"/>
      <c r="BI54" s="157" t="str">
        <f t="shared" si="14"/>
        <v/>
      </c>
      <c r="BJ54" s="151" t="str">
        <f>IF(BI54&lt;&gt;"",CONCATENATE("Riduzione ",BK54,"%"),"")</f>
        <v/>
      </c>
      <c r="BK54" s="152">
        <f t="shared" si="16"/>
        <v>10</v>
      </c>
      <c r="BL54" s="326"/>
      <c r="BM54" s="327"/>
      <c r="BN54" s="328"/>
      <c r="BP54" s="90" t="s">
        <v>121</v>
      </c>
      <c r="BQ54" s="91" t="s">
        <v>13</v>
      </c>
      <c r="BR54" s="92">
        <v>1</v>
      </c>
      <c r="BS54" s="133">
        <v>4.5599999999999996</v>
      </c>
      <c r="BT54" s="133">
        <v>5.31</v>
      </c>
      <c r="BU54" s="116">
        <f t="shared" si="4"/>
        <v>0</v>
      </c>
      <c r="BV54" s="116">
        <f t="shared" si="5"/>
        <v>0</v>
      </c>
      <c r="BW54" s="116">
        <f t="shared" si="6"/>
        <v>0</v>
      </c>
      <c r="BX54" s="111">
        <f t="shared" si="11"/>
        <v>0</v>
      </c>
      <c r="BY54" s="117">
        <f t="shared" si="7"/>
        <v>0</v>
      </c>
      <c r="BZ54" s="117">
        <f t="shared" si="8"/>
        <v>0</v>
      </c>
      <c r="CA54" s="89">
        <v>37818</v>
      </c>
      <c r="CB54" s="89" t="str">
        <f t="shared" si="12"/>
        <v/>
      </c>
      <c r="CC54" s="89" t="str">
        <f t="shared" si="13"/>
        <v/>
      </c>
    </row>
    <row r="55" spans="1:81" ht="10.5" customHeight="1" x14ac:dyDescent="0.2">
      <c r="P55" s="33"/>
      <c r="Q55" s="33"/>
      <c r="R55" s="33"/>
      <c r="S55" s="33"/>
      <c r="T55" s="255"/>
      <c r="U55" s="255"/>
      <c r="V55" s="33"/>
      <c r="W55" s="34"/>
      <c r="X55" s="34"/>
      <c r="Y55" s="34"/>
      <c r="BC55" s="154"/>
      <c r="BD55" s="158">
        <f>SUM(BD52:BD54)</f>
        <v>0</v>
      </c>
      <c r="BE55" s="155">
        <f>SUM(BD55:BD56)</f>
        <v>0</v>
      </c>
      <c r="BF55" s="159" t="str">
        <f>IF(BE55=1,"B",IF(BE55&gt;=7,"A","M"))</f>
        <v>M</v>
      </c>
      <c r="BP55" s="119" t="s">
        <v>121</v>
      </c>
      <c r="BQ55" s="120" t="s">
        <v>13</v>
      </c>
      <c r="BR55" s="121">
        <v>2</v>
      </c>
      <c r="BS55" s="133">
        <v>3.8</v>
      </c>
      <c r="BT55" s="133">
        <v>4.5599999999999996</v>
      </c>
      <c r="BU55" s="116">
        <f t="shared" si="4"/>
        <v>0</v>
      </c>
      <c r="BV55" s="116">
        <f t="shared" si="5"/>
        <v>0</v>
      </c>
      <c r="BW55" s="116">
        <f t="shared" si="6"/>
        <v>0</v>
      </c>
      <c r="BX55" s="111">
        <f t="shared" si="11"/>
        <v>0</v>
      </c>
      <c r="BY55" s="117">
        <f t="shared" si="7"/>
        <v>0</v>
      </c>
      <c r="BZ55" s="117">
        <f t="shared" si="8"/>
        <v>0</v>
      </c>
      <c r="CA55" s="89">
        <v>37818</v>
      </c>
      <c r="CB55" s="89" t="str">
        <f t="shared" si="12"/>
        <v/>
      </c>
      <c r="CC55" s="89" t="str">
        <f t="shared" si="13"/>
        <v/>
      </c>
    </row>
    <row r="56" spans="1:81" ht="10.5" customHeight="1" x14ac:dyDescent="0.2">
      <c r="A56" s="225" t="s">
        <v>75</v>
      </c>
      <c r="B56" s="226"/>
      <c r="C56" s="226"/>
      <c r="D56" s="226"/>
      <c r="E56" s="226"/>
      <c r="F56" s="226"/>
      <c r="G56" s="226"/>
      <c r="H56" s="226"/>
      <c r="I56" s="226"/>
      <c r="J56" s="226"/>
      <c r="K56" s="227"/>
      <c r="P56" s="334"/>
      <c r="Q56" s="334"/>
      <c r="R56" s="255" t="s">
        <v>76</v>
      </c>
      <c r="S56" s="255"/>
      <c r="T56" s="255"/>
      <c r="U56" s="255"/>
      <c r="V56" s="296" t="s">
        <v>16</v>
      </c>
      <c r="W56" s="298"/>
      <c r="X56" s="345"/>
      <c r="Y56" s="346"/>
      <c r="AB56" s="344" t="s">
        <v>23</v>
      </c>
      <c r="AC56" s="344"/>
      <c r="AD56" s="344"/>
      <c r="AE56" s="344"/>
      <c r="AF56" s="344"/>
      <c r="AG56" s="344"/>
      <c r="AH56" s="344"/>
      <c r="AJ56" s="245" t="str">
        <f>BL9</f>
        <v>TRENTO</v>
      </c>
      <c r="AK56" s="246"/>
      <c r="AL56" s="246"/>
      <c r="AM56" s="246"/>
      <c r="AN56" s="246"/>
      <c r="AO56" s="246"/>
      <c r="AP56" s="246"/>
      <c r="AQ56" s="247"/>
      <c r="AS56" s="160">
        <f>IF(T52&lt;&gt;"",1,0)</f>
        <v>0</v>
      </c>
      <c r="AT56" s="160">
        <f>IF(P56&lt;&gt;"",1,0)</f>
        <v>0</v>
      </c>
      <c r="AU56" s="160">
        <f>IF(X56&lt;&gt;"",1,0)</f>
        <v>0</v>
      </c>
      <c r="AV56" s="160">
        <f>IF(T60&lt;&gt;"",1,0)</f>
        <v>0</v>
      </c>
      <c r="AW56" s="161">
        <f>SUM(AS56:AV56)</f>
        <v>0</v>
      </c>
      <c r="BC56" s="154" t="s">
        <v>86</v>
      </c>
      <c r="BD56" s="155">
        <f>IF(AND(BD57=5,BD55=0),7,BD57)</f>
        <v>0</v>
      </c>
      <c r="BE56" s="99"/>
      <c r="BF56" s="114"/>
      <c r="BP56" s="123" t="s">
        <v>121</v>
      </c>
      <c r="BQ56" s="124" t="s">
        <v>13</v>
      </c>
      <c r="BR56" s="125">
        <v>3</v>
      </c>
      <c r="BS56" s="133">
        <v>3.04</v>
      </c>
      <c r="BT56" s="133">
        <v>3.8</v>
      </c>
      <c r="BU56" s="116">
        <f t="shared" si="4"/>
        <v>0</v>
      </c>
      <c r="BV56" s="116">
        <f t="shared" si="5"/>
        <v>1</v>
      </c>
      <c r="BW56" s="116">
        <f t="shared" si="6"/>
        <v>0</v>
      </c>
      <c r="BX56" s="111">
        <f t="shared" si="11"/>
        <v>0</v>
      </c>
      <c r="BY56" s="117">
        <f t="shared" si="7"/>
        <v>0</v>
      </c>
      <c r="BZ56" s="117">
        <f t="shared" si="8"/>
        <v>0</v>
      </c>
      <c r="CA56" s="89">
        <v>37818</v>
      </c>
      <c r="CB56" s="89" t="str">
        <f t="shared" si="12"/>
        <v/>
      </c>
      <c r="CC56" s="89" t="str">
        <f t="shared" si="13"/>
        <v/>
      </c>
    </row>
    <row r="57" spans="1:81" ht="10.5" customHeight="1" x14ac:dyDescent="0.2">
      <c r="A57" s="228"/>
      <c r="B57" s="229"/>
      <c r="C57" s="229"/>
      <c r="D57" s="229"/>
      <c r="E57" s="229"/>
      <c r="F57" s="229"/>
      <c r="G57" s="229"/>
      <c r="H57" s="229"/>
      <c r="I57" s="229"/>
      <c r="J57" s="229"/>
      <c r="K57" s="230"/>
      <c r="P57" s="334"/>
      <c r="Q57" s="334"/>
      <c r="R57" s="255"/>
      <c r="S57" s="255"/>
      <c r="T57" s="255"/>
      <c r="U57" s="255"/>
      <c r="V57" s="299"/>
      <c r="W57" s="301"/>
      <c r="X57" s="347"/>
      <c r="Y57" s="348"/>
      <c r="AB57" s="344"/>
      <c r="AC57" s="344"/>
      <c r="AD57" s="344"/>
      <c r="AE57" s="344"/>
      <c r="AF57" s="344"/>
      <c r="AG57" s="344"/>
      <c r="AH57" s="344"/>
      <c r="AJ57" s="248"/>
      <c r="AK57" s="249"/>
      <c r="AL57" s="249"/>
      <c r="AM57" s="249"/>
      <c r="AN57" s="249"/>
      <c r="AO57" s="249"/>
      <c r="AP57" s="249"/>
      <c r="AQ57" s="250"/>
      <c r="AS57" s="86">
        <f>IF(AA62="NO",100,115)</f>
        <v>100</v>
      </c>
      <c r="AT57" s="162" t="s">
        <v>210</v>
      </c>
      <c r="AU57" s="86" t="str">
        <f>IF(AA62="SI","aum. 15% storico","")</f>
        <v/>
      </c>
      <c r="BC57" s="163"/>
      <c r="BD57" s="158">
        <f>IF(T60="X",5,0)</f>
        <v>0</v>
      </c>
      <c r="BE57" s="99"/>
      <c r="BF57" s="114"/>
      <c r="BP57" s="90"/>
      <c r="BQ57" s="91"/>
      <c r="BR57" s="92"/>
      <c r="BS57" s="133"/>
      <c r="BT57" s="133"/>
      <c r="BU57" s="116">
        <f t="shared" si="4"/>
        <v>0</v>
      </c>
      <c r="BV57" s="116">
        <f t="shared" si="5"/>
        <v>0</v>
      </c>
      <c r="BW57" s="116">
        <f t="shared" si="6"/>
        <v>0</v>
      </c>
      <c r="BX57" s="111">
        <f t="shared" si="11"/>
        <v>0</v>
      </c>
      <c r="BY57" s="117">
        <f t="shared" si="7"/>
        <v>0</v>
      </c>
      <c r="BZ57" s="117">
        <f t="shared" si="8"/>
        <v>0</v>
      </c>
      <c r="CA57" s="89"/>
      <c r="CB57" s="89" t="str">
        <f t="shared" si="12"/>
        <v/>
      </c>
      <c r="CC57" s="89" t="str">
        <f t="shared" si="13"/>
        <v/>
      </c>
    </row>
    <row r="58" spans="1:81" ht="10.5" customHeight="1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P58" s="34"/>
      <c r="Q58" s="34"/>
      <c r="R58" s="34"/>
      <c r="S58" s="34"/>
      <c r="T58" s="255" t="s">
        <v>77</v>
      </c>
      <c r="U58" s="255"/>
      <c r="V58" s="34"/>
      <c r="W58" s="349" t="str">
        <f>IF(AW56&gt;2,"max 2","")</f>
        <v/>
      </c>
      <c r="X58" s="349"/>
      <c r="Y58" s="349"/>
      <c r="BC58" s="113"/>
      <c r="BD58" s="99"/>
      <c r="BE58" s="99"/>
      <c r="BF58" s="114"/>
      <c r="BH58" s="335" t="s">
        <v>122</v>
      </c>
      <c r="BI58" s="336"/>
      <c r="BJ58" s="336"/>
      <c r="BK58" s="164"/>
      <c r="BP58" s="119"/>
      <c r="BQ58" s="120"/>
      <c r="BR58" s="121"/>
      <c r="BS58" s="133"/>
      <c r="BT58" s="133"/>
      <c r="BU58" s="116">
        <f t="shared" si="4"/>
        <v>0</v>
      </c>
      <c r="BV58" s="116">
        <f t="shared" si="5"/>
        <v>0</v>
      </c>
      <c r="BW58" s="116">
        <f t="shared" si="6"/>
        <v>0</v>
      </c>
      <c r="BX58" s="111">
        <f t="shared" si="11"/>
        <v>0</v>
      </c>
      <c r="BY58" s="117">
        <f t="shared" si="7"/>
        <v>0</v>
      </c>
      <c r="BZ58" s="117">
        <f t="shared" si="8"/>
        <v>0</v>
      </c>
      <c r="CA58" s="89"/>
      <c r="CB58" s="89" t="str">
        <f t="shared" si="12"/>
        <v/>
      </c>
      <c r="CC58" s="89" t="str">
        <f t="shared" si="13"/>
        <v/>
      </c>
    </row>
    <row r="59" spans="1:81" ht="10.5" customHeight="1" x14ac:dyDescent="0.2">
      <c r="A59" s="225" t="s">
        <v>18</v>
      </c>
      <c r="B59" s="226"/>
      <c r="C59" s="226"/>
      <c r="D59" s="226"/>
      <c r="E59" s="226"/>
      <c r="F59" s="226"/>
      <c r="G59" s="226"/>
      <c r="H59" s="226"/>
      <c r="I59" s="226"/>
      <c r="J59" s="226"/>
      <c r="K59" s="227"/>
      <c r="M59" s="337">
        <f>'Calcolatore Coefficienti'!T2</f>
        <v>3.12</v>
      </c>
      <c r="N59" s="338"/>
      <c r="O59" s="338"/>
      <c r="P59" s="338"/>
      <c r="Q59" s="339"/>
      <c r="R59" s="34"/>
      <c r="S59" s="34"/>
      <c r="T59" s="255"/>
      <c r="U59" s="255"/>
      <c r="V59" s="34"/>
      <c r="W59" s="343" t="str">
        <f>IF(AW56&gt;2,"⚠","")</f>
        <v/>
      </c>
      <c r="X59" s="343"/>
      <c r="Y59" s="343"/>
      <c r="AB59" s="344" t="s">
        <v>6</v>
      </c>
      <c r="AC59" s="344"/>
      <c r="AD59" s="344"/>
      <c r="AE59" s="344"/>
      <c r="AF59" s="344"/>
      <c r="AG59" s="344"/>
      <c r="AH59" s="344"/>
      <c r="AJ59" s="245" t="str">
        <f>BN9</f>
        <v>F</v>
      </c>
      <c r="AK59" s="246"/>
      <c r="AL59" s="246"/>
      <c r="AM59" s="246"/>
      <c r="AN59" s="246"/>
      <c r="AO59" s="246"/>
      <c r="AP59" s="246"/>
      <c r="AQ59" s="247"/>
      <c r="AS59" s="350" t="s">
        <v>75</v>
      </c>
      <c r="AT59" s="350"/>
      <c r="AU59" s="350"/>
      <c r="AV59" s="350"/>
      <c r="BC59" s="113"/>
      <c r="BD59" s="99"/>
      <c r="BE59" s="99"/>
      <c r="BF59" s="114"/>
      <c r="BH59" s="119" t="str">
        <f>IF(OR(AJ56="TRENTO",AJ56="ROVERETO"),"OK","")</f>
        <v>OK</v>
      </c>
      <c r="BI59" s="99" t="s">
        <v>123</v>
      </c>
      <c r="BJ59" s="99"/>
      <c r="BK59" s="100"/>
      <c r="BP59" s="123"/>
      <c r="BQ59" s="124"/>
      <c r="BR59" s="125"/>
      <c r="BS59" s="133"/>
      <c r="BT59" s="133"/>
      <c r="BU59" s="116">
        <f t="shared" si="4"/>
        <v>0</v>
      </c>
      <c r="BV59" s="116">
        <f t="shared" si="5"/>
        <v>0</v>
      </c>
      <c r="BW59" s="116">
        <f t="shared" si="6"/>
        <v>0</v>
      </c>
      <c r="BX59" s="111">
        <f t="shared" si="11"/>
        <v>0</v>
      </c>
      <c r="BY59" s="117">
        <f t="shared" si="7"/>
        <v>0</v>
      </c>
      <c r="BZ59" s="117">
        <f t="shared" si="8"/>
        <v>0</v>
      </c>
      <c r="CA59" s="89"/>
      <c r="CB59" s="89" t="str">
        <f t="shared" si="12"/>
        <v/>
      </c>
      <c r="CC59" s="89" t="str">
        <f t="shared" si="13"/>
        <v/>
      </c>
    </row>
    <row r="60" spans="1:81" ht="10.5" customHeight="1" x14ac:dyDescent="0.2">
      <c r="A60" s="228"/>
      <c r="B60" s="229"/>
      <c r="C60" s="229"/>
      <c r="D60" s="229"/>
      <c r="E60" s="229"/>
      <c r="F60" s="229"/>
      <c r="G60" s="229"/>
      <c r="H60" s="229"/>
      <c r="I60" s="229"/>
      <c r="J60" s="229"/>
      <c r="K60" s="230"/>
      <c r="M60" s="340"/>
      <c r="N60" s="341"/>
      <c r="O60" s="341"/>
      <c r="P60" s="341"/>
      <c r="Q60" s="342"/>
      <c r="R60" s="34"/>
      <c r="S60" s="34"/>
      <c r="T60" s="334"/>
      <c r="U60" s="334"/>
      <c r="V60" s="34"/>
      <c r="W60" s="343"/>
      <c r="X60" s="343"/>
      <c r="Y60" s="343"/>
      <c r="AB60" s="344"/>
      <c r="AC60" s="344"/>
      <c r="AD60" s="344"/>
      <c r="AE60" s="344"/>
      <c r="AF60" s="344"/>
      <c r="AG60" s="344"/>
      <c r="AH60" s="344"/>
      <c r="AJ60" s="248"/>
      <c r="AK60" s="249"/>
      <c r="AL60" s="249"/>
      <c r="AM60" s="249"/>
      <c r="AN60" s="249"/>
      <c r="AO60" s="249"/>
      <c r="AP60" s="249"/>
      <c r="AQ60" s="250"/>
      <c r="AS60" s="86" t="str">
        <f>'Calcolatore Coefficienti'!V8</f>
        <v>3+2</v>
      </c>
      <c r="AU60" s="165">
        <f>'Calcolatore Coefficienti'!T8*$AS$57/100</f>
        <v>3.12</v>
      </c>
      <c r="AV60" s="165">
        <f>'Calcolatore Coefficienti'!U8*$AS$57/100</f>
        <v>5.72</v>
      </c>
      <c r="BC60" s="113"/>
      <c r="BD60" s="99"/>
      <c r="BE60" s="99"/>
      <c r="BF60" s="114"/>
      <c r="BH60" s="98"/>
      <c r="BI60" s="99"/>
      <c r="BJ60" s="99"/>
      <c r="BK60" s="100"/>
      <c r="BP60" s="90" t="s">
        <v>124</v>
      </c>
      <c r="BQ60" s="91" t="s">
        <v>12</v>
      </c>
      <c r="BR60" s="92">
        <v>1</v>
      </c>
      <c r="BS60" s="133">
        <v>6.35</v>
      </c>
      <c r="BT60" s="133">
        <v>10.92</v>
      </c>
      <c r="BU60" s="116">
        <f t="shared" si="4"/>
        <v>0</v>
      </c>
      <c r="BV60" s="116">
        <f t="shared" si="5"/>
        <v>0</v>
      </c>
      <c r="BW60" s="116">
        <f t="shared" si="6"/>
        <v>0</v>
      </c>
      <c r="BX60" s="111">
        <f t="shared" si="11"/>
        <v>0</v>
      </c>
      <c r="BY60" s="117">
        <f t="shared" si="7"/>
        <v>0</v>
      </c>
      <c r="BZ60" s="117">
        <f t="shared" si="8"/>
        <v>0</v>
      </c>
      <c r="CA60" s="89"/>
      <c r="CB60" s="89" t="str">
        <f t="shared" si="12"/>
        <v/>
      </c>
      <c r="CC60" s="89" t="str">
        <f t="shared" si="13"/>
        <v/>
      </c>
    </row>
    <row r="61" spans="1:81" ht="10.5" customHeight="1" x14ac:dyDescent="0.2">
      <c r="A61" s="35"/>
      <c r="B61" s="35"/>
      <c r="C61" s="35"/>
      <c r="D61" s="35"/>
      <c r="E61" s="36"/>
      <c r="F61" s="36"/>
      <c r="G61" s="35"/>
      <c r="H61" s="35"/>
      <c r="I61" s="35"/>
      <c r="J61" s="35"/>
      <c r="K61" s="30"/>
      <c r="P61" s="34"/>
      <c r="Q61" s="34"/>
      <c r="R61" s="34"/>
      <c r="S61" s="34"/>
      <c r="T61" s="334"/>
      <c r="U61" s="334"/>
      <c r="V61" s="34"/>
      <c r="W61" s="343"/>
      <c r="X61" s="343"/>
      <c r="Y61" s="343"/>
      <c r="AS61" s="86" t="str">
        <f>'Calcolatore Coefficienti'!V9</f>
        <v>4+2</v>
      </c>
      <c r="AU61" s="165">
        <f>'Calcolatore Coefficienti'!T9*$AS$57/100</f>
        <v>3.1823999999999999</v>
      </c>
      <c r="AV61" s="165">
        <f>'Calcolatore Coefficienti'!U9*$AS$57/100</f>
        <v>5.8343999999999996</v>
      </c>
      <c r="BB61" s="166" t="s">
        <v>125</v>
      </c>
      <c r="BC61" s="113" t="s">
        <v>87</v>
      </c>
      <c r="BD61" s="99">
        <f>COUNTIF(BD13:BF55,"A")</f>
        <v>0</v>
      </c>
      <c r="BE61" s="99"/>
      <c r="BF61" s="114"/>
      <c r="BH61" s="123">
        <f>IF(AND(AJ56="TRENTO",AJ59="A"),115,120)</f>
        <v>120</v>
      </c>
      <c r="BI61" s="167" t="s">
        <v>126</v>
      </c>
      <c r="BJ61" s="167"/>
      <c r="BK61" s="168"/>
      <c r="BP61" s="119" t="s">
        <v>124</v>
      </c>
      <c r="BQ61" s="120" t="s">
        <v>12</v>
      </c>
      <c r="BR61" s="121">
        <v>2</v>
      </c>
      <c r="BS61" s="133">
        <v>4.84</v>
      </c>
      <c r="BT61" s="133">
        <v>10.29</v>
      </c>
      <c r="BU61" s="116">
        <f t="shared" si="4"/>
        <v>0</v>
      </c>
      <c r="BV61" s="116">
        <f t="shared" si="5"/>
        <v>0</v>
      </c>
      <c r="BW61" s="116">
        <f t="shared" si="6"/>
        <v>0</v>
      </c>
      <c r="BX61" s="111">
        <f t="shared" si="11"/>
        <v>0</v>
      </c>
      <c r="BY61" s="117">
        <f t="shared" si="7"/>
        <v>0</v>
      </c>
      <c r="BZ61" s="117">
        <f t="shared" si="8"/>
        <v>0</v>
      </c>
      <c r="CA61" s="89"/>
      <c r="CB61" s="89" t="str">
        <f t="shared" si="12"/>
        <v/>
      </c>
      <c r="CC61" s="89" t="str">
        <f t="shared" si="13"/>
        <v/>
      </c>
    </row>
    <row r="62" spans="1:81" ht="10.5" customHeight="1" x14ac:dyDescent="0.2">
      <c r="A62" s="225" t="s">
        <v>19</v>
      </c>
      <c r="B62" s="226"/>
      <c r="C62" s="226"/>
      <c r="D62" s="226"/>
      <c r="E62" s="226"/>
      <c r="F62" s="226"/>
      <c r="G62" s="226"/>
      <c r="H62" s="226"/>
      <c r="I62" s="226"/>
      <c r="J62" s="226"/>
      <c r="K62" s="227"/>
      <c r="M62" s="354">
        <f>'Calcolatore Coefficienti'!U2</f>
        <v>5.72</v>
      </c>
      <c r="N62" s="355"/>
      <c r="O62" s="355"/>
      <c r="P62" s="355"/>
      <c r="Q62" s="356"/>
      <c r="AA62" s="360" t="s">
        <v>78</v>
      </c>
      <c r="AB62" s="361"/>
      <c r="AC62" s="37"/>
      <c r="AD62" s="364" t="s">
        <v>22</v>
      </c>
      <c r="AE62" s="365"/>
      <c r="AF62" s="365"/>
      <c r="AG62" s="365"/>
      <c r="AH62" s="366"/>
      <c r="AJ62" s="245" t="str">
        <f>BD64</f>
        <v>Terza</v>
      </c>
      <c r="AK62" s="246"/>
      <c r="AL62" s="246"/>
      <c r="AM62" s="246"/>
      <c r="AN62" s="246"/>
      <c r="AO62" s="246"/>
      <c r="AP62" s="246"/>
      <c r="AQ62" s="247"/>
      <c r="AS62" s="86" t="str">
        <f>'Calcolatore Coefficienti'!V10</f>
        <v>5+2</v>
      </c>
      <c r="AU62" s="165">
        <f>'Calcolatore Coefficienti'!T10*$AS$57/100</f>
        <v>3.2448000000000001</v>
      </c>
      <c r="AV62" s="165">
        <f>'Calcolatore Coefficienti'!U10*$AS$57/100</f>
        <v>5.9488000000000003</v>
      </c>
      <c r="BB62" s="166" t="s">
        <v>127</v>
      </c>
      <c r="BC62" s="113" t="s">
        <v>88</v>
      </c>
      <c r="BD62" s="99">
        <f>COUNTIF(BD13:BF55,"M")</f>
        <v>1</v>
      </c>
      <c r="BE62" s="99"/>
      <c r="BF62" s="114"/>
      <c r="BP62" s="123" t="s">
        <v>124</v>
      </c>
      <c r="BQ62" s="124" t="s">
        <v>12</v>
      </c>
      <c r="BR62" s="125">
        <v>3</v>
      </c>
      <c r="BS62" s="133">
        <v>4</v>
      </c>
      <c r="BT62" s="133">
        <v>8.18</v>
      </c>
      <c r="BU62" s="116">
        <f t="shared" si="4"/>
        <v>0</v>
      </c>
      <c r="BV62" s="116">
        <f t="shared" si="5"/>
        <v>1</v>
      </c>
      <c r="BW62" s="116">
        <f t="shared" si="6"/>
        <v>0</v>
      </c>
      <c r="BX62" s="111">
        <f t="shared" si="11"/>
        <v>0</v>
      </c>
      <c r="BY62" s="117">
        <f t="shared" si="7"/>
        <v>0</v>
      </c>
      <c r="BZ62" s="117">
        <f t="shared" si="8"/>
        <v>0</v>
      </c>
      <c r="CA62" s="89"/>
      <c r="CB62" s="89" t="str">
        <f t="shared" si="12"/>
        <v/>
      </c>
      <c r="CC62" s="89" t="str">
        <f t="shared" si="13"/>
        <v/>
      </c>
    </row>
    <row r="63" spans="1:81" ht="10.5" customHeight="1" x14ac:dyDescent="0.2">
      <c r="A63" s="228"/>
      <c r="B63" s="229"/>
      <c r="C63" s="229"/>
      <c r="D63" s="229"/>
      <c r="E63" s="229"/>
      <c r="F63" s="229"/>
      <c r="G63" s="229"/>
      <c r="H63" s="229"/>
      <c r="I63" s="229"/>
      <c r="J63" s="229"/>
      <c r="K63" s="230"/>
      <c r="L63" s="25"/>
      <c r="M63" s="357"/>
      <c r="N63" s="358"/>
      <c r="O63" s="358"/>
      <c r="P63" s="358"/>
      <c r="Q63" s="359"/>
      <c r="R63" s="25"/>
      <c r="S63" s="25"/>
      <c r="T63" s="25"/>
      <c r="U63" s="25"/>
      <c r="V63" s="25"/>
      <c r="Z63" s="38" t="s">
        <v>79</v>
      </c>
      <c r="AA63" s="362"/>
      <c r="AB63" s="363"/>
      <c r="AC63" s="37"/>
      <c r="AD63" s="367"/>
      <c r="AE63" s="368"/>
      <c r="AF63" s="368"/>
      <c r="AG63" s="368"/>
      <c r="AH63" s="369"/>
      <c r="AJ63" s="248"/>
      <c r="AK63" s="249"/>
      <c r="AL63" s="249"/>
      <c r="AM63" s="249"/>
      <c r="AN63" s="249"/>
      <c r="AO63" s="249"/>
      <c r="AP63" s="249"/>
      <c r="AQ63" s="250"/>
      <c r="AS63" s="86" t="str">
        <f>'Calcolatore Coefficienti'!V11</f>
        <v>6+2</v>
      </c>
      <c r="AU63" s="165">
        <f>'Calcolatore Coefficienti'!T11*$AS$57/100</f>
        <v>3.3072000000000004</v>
      </c>
      <c r="AV63" s="165">
        <f>'Calcolatore Coefficienti'!U11*$AS$57/100</f>
        <v>6.0631999999999993</v>
      </c>
      <c r="BB63" s="166" t="s">
        <v>128</v>
      </c>
      <c r="BC63" s="113" t="s">
        <v>89</v>
      </c>
      <c r="BD63" s="99">
        <f>COUNTIF(BD13:BF55,"B")</f>
        <v>4</v>
      </c>
      <c r="BE63" s="99"/>
      <c r="BF63" s="114"/>
      <c r="BP63" s="90" t="s">
        <v>124</v>
      </c>
      <c r="BQ63" s="91" t="s">
        <v>13</v>
      </c>
      <c r="BR63" s="92">
        <v>1</v>
      </c>
      <c r="BS63" s="133">
        <v>4.43</v>
      </c>
      <c r="BT63" s="133">
        <v>7.6</v>
      </c>
      <c r="BU63" s="116">
        <f t="shared" si="4"/>
        <v>0</v>
      </c>
      <c r="BV63" s="116">
        <f t="shared" si="5"/>
        <v>0</v>
      </c>
      <c r="BW63" s="116">
        <f t="shared" si="6"/>
        <v>0</v>
      </c>
      <c r="BX63" s="111">
        <f t="shared" si="11"/>
        <v>0</v>
      </c>
      <c r="BY63" s="117">
        <f t="shared" si="7"/>
        <v>0</v>
      </c>
      <c r="BZ63" s="117">
        <f t="shared" si="8"/>
        <v>0</v>
      </c>
      <c r="CA63" s="89"/>
      <c r="CB63" s="89" t="str">
        <f t="shared" si="12"/>
        <v/>
      </c>
      <c r="CC63" s="89" t="str">
        <f t="shared" si="13"/>
        <v/>
      </c>
    </row>
    <row r="64" spans="1:81" ht="10.5" customHeight="1" x14ac:dyDescent="0.2">
      <c r="A64" s="429" t="s">
        <v>238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429"/>
      <c r="AA64" s="429"/>
      <c r="AB64" s="429"/>
      <c r="AC64" s="429"/>
      <c r="AD64" s="429"/>
      <c r="AE64" s="429"/>
      <c r="AF64" s="429"/>
      <c r="AG64" s="429"/>
      <c r="AH64" s="429"/>
      <c r="AI64" s="429"/>
      <c r="AJ64" s="429"/>
      <c r="AK64" s="429"/>
      <c r="AL64" s="429"/>
      <c r="AM64" s="429"/>
      <c r="AN64" s="429"/>
      <c r="AO64" s="429"/>
      <c r="AP64" s="429"/>
      <c r="AQ64" s="429"/>
      <c r="AS64" s="86" t="str">
        <f>'Calcolatore Coefficienti'!V12</f>
        <v>Transitorio</v>
      </c>
      <c r="AU64" s="165">
        <f>'Calcolatore Coefficienti'!T12*$AS$57/100</f>
        <v>3.7440000000000002</v>
      </c>
      <c r="AV64" s="165">
        <f>'Calcolatore Coefficienti'!U12*$AS$57/100</f>
        <v>6.8639999999999999</v>
      </c>
      <c r="BC64" s="113"/>
      <c r="BD64" s="169" t="str">
        <f>IF(AND(BD61&gt;=BD62,BD61&gt;=BD63),"Prima",IF(AND(BD63&gt;BD62,BD63&gt;BD61),"Terza","Seconda"))</f>
        <v>Terza</v>
      </c>
      <c r="BE64" s="99"/>
      <c r="BF64" s="114"/>
      <c r="BJ64" s="350" t="s">
        <v>129</v>
      </c>
      <c r="BK64" s="350"/>
      <c r="BP64" s="119" t="s">
        <v>124</v>
      </c>
      <c r="BQ64" s="120" t="s">
        <v>13</v>
      </c>
      <c r="BR64" s="121">
        <v>2</v>
      </c>
      <c r="BS64" s="133">
        <v>3.65</v>
      </c>
      <c r="BT64" s="133">
        <v>7.6</v>
      </c>
      <c r="BU64" s="116">
        <f t="shared" si="4"/>
        <v>0</v>
      </c>
      <c r="BV64" s="116">
        <f t="shared" si="5"/>
        <v>0</v>
      </c>
      <c r="BW64" s="116">
        <f t="shared" si="6"/>
        <v>0</v>
      </c>
      <c r="BX64" s="111">
        <f t="shared" si="11"/>
        <v>0</v>
      </c>
      <c r="BY64" s="117">
        <f t="shared" si="7"/>
        <v>0</v>
      </c>
      <c r="BZ64" s="117">
        <f t="shared" si="8"/>
        <v>0</v>
      </c>
      <c r="CA64" s="89"/>
      <c r="CB64" s="89" t="str">
        <f t="shared" si="12"/>
        <v/>
      </c>
      <c r="CC64" s="89" t="str">
        <f t="shared" si="13"/>
        <v/>
      </c>
    </row>
    <row r="65" spans="1:81" ht="10.5" customHeight="1" thickBot="1" x14ac:dyDescent="0.25">
      <c r="A65" s="429"/>
      <c r="B65" s="429"/>
      <c r="C65" s="429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29"/>
      <c r="Y65" s="429"/>
      <c r="Z65" s="429"/>
      <c r="AA65" s="429"/>
      <c r="AB65" s="429"/>
      <c r="AC65" s="429"/>
      <c r="AD65" s="429"/>
      <c r="AE65" s="429"/>
      <c r="AF65" s="429"/>
      <c r="AG65" s="429"/>
      <c r="AH65" s="429"/>
      <c r="AI65" s="429"/>
      <c r="AJ65" s="429"/>
      <c r="AK65" s="429"/>
      <c r="AL65" s="429"/>
      <c r="AM65" s="429"/>
      <c r="AN65" s="429"/>
      <c r="AO65" s="429"/>
      <c r="AP65" s="429"/>
      <c r="AQ65" s="429"/>
      <c r="AS65" s="86" t="str">
        <f>'Calcolatore Coefficienti'!V13</f>
        <v>Studenti</v>
      </c>
      <c r="AU65" s="165">
        <f>'Calcolatore Coefficienti'!T13*$AS$57/100</f>
        <v>3.7440000000000002</v>
      </c>
      <c r="AV65" s="165">
        <f>'Calcolatore Coefficienti'!U13*$AS$57/100</f>
        <v>6.8639999999999999</v>
      </c>
      <c r="BC65" s="170"/>
      <c r="BD65" s="171"/>
      <c r="BE65" s="171"/>
      <c r="BF65" s="172"/>
      <c r="BJ65" s="350"/>
      <c r="BK65" s="350"/>
      <c r="BP65" s="123" t="s">
        <v>124</v>
      </c>
      <c r="BQ65" s="124" t="s">
        <v>13</v>
      </c>
      <c r="BR65" s="125">
        <v>3</v>
      </c>
      <c r="BS65" s="133">
        <v>2.88</v>
      </c>
      <c r="BT65" s="133">
        <v>6.51</v>
      </c>
      <c r="BU65" s="116">
        <f t="shared" si="4"/>
        <v>0</v>
      </c>
      <c r="BV65" s="116">
        <f t="shared" si="5"/>
        <v>1</v>
      </c>
      <c r="BW65" s="116">
        <f t="shared" si="6"/>
        <v>0</v>
      </c>
      <c r="BX65" s="111">
        <f t="shared" si="11"/>
        <v>0</v>
      </c>
      <c r="BY65" s="117">
        <f t="shared" si="7"/>
        <v>0</v>
      </c>
      <c r="BZ65" s="117">
        <f t="shared" si="8"/>
        <v>0</v>
      </c>
      <c r="CA65" s="89"/>
      <c r="CB65" s="89" t="str">
        <f t="shared" si="12"/>
        <v/>
      </c>
      <c r="CC65" s="89" t="str">
        <f t="shared" si="13"/>
        <v/>
      </c>
    </row>
    <row r="66" spans="1:81" ht="10.5" customHeight="1" x14ac:dyDescent="0.2">
      <c r="K66" s="351" t="s">
        <v>101</v>
      </c>
      <c r="L66" s="352"/>
      <c r="M66" s="352"/>
      <c r="N66" s="352"/>
      <c r="O66" s="353"/>
      <c r="Q66" s="351" t="s">
        <v>102</v>
      </c>
      <c r="R66" s="352"/>
      <c r="S66" s="352"/>
      <c r="T66" s="352"/>
      <c r="U66" s="353"/>
      <c r="AG66" s="351" t="s">
        <v>101</v>
      </c>
      <c r="AH66" s="352"/>
      <c r="AI66" s="352"/>
      <c r="AJ66" s="352"/>
      <c r="AK66" s="353"/>
      <c r="AM66" s="351" t="s">
        <v>102</v>
      </c>
      <c r="AN66" s="352"/>
      <c r="AO66" s="352"/>
      <c r="AP66" s="352"/>
      <c r="AQ66" s="353"/>
      <c r="BJ66" s="86" t="s">
        <v>130</v>
      </c>
      <c r="BK66" s="86" t="s">
        <v>131</v>
      </c>
      <c r="BN66" s="173" t="s">
        <v>132</v>
      </c>
      <c r="BO66" s="173" t="s">
        <v>133</v>
      </c>
      <c r="BP66" s="90" t="s">
        <v>124</v>
      </c>
      <c r="BQ66" s="91" t="s">
        <v>14</v>
      </c>
      <c r="BR66" s="92">
        <v>1</v>
      </c>
      <c r="BS66" s="86">
        <v>4.43</v>
      </c>
      <c r="BT66" s="86">
        <v>6.2</v>
      </c>
      <c r="BU66" s="116">
        <f t="shared" si="4"/>
        <v>0</v>
      </c>
      <c r="BV66" s="116">
        <f t="shared" si="5"/>
        <v>0</v>
      </c>
      <c r="BW66" s="116">
        <f t="shared" si="6"/>
        <v>0</v>
      </c>
      <c r="BX66" s="111">
        <f t="shared" si="11"/>
        <v>0</v>
      </c>
      <c r="BY66" s="117">
        <f t="shared" si="7"/>
        <v>0</v>
      </c>
      <c r="BZ66" s="117">
        <f t="shared" si="8"/>
        <v>0</v>
      </c>
      <c r="CA66" s="89"/>
      <c r="CB66" s="89" t="str">
        <f t="shared" si="12"/>
        <v/>
      </c>
      <c r="CC66" s="89" t="str">
        <f t="shared" si="13"/>
        <v/>
      </c>
    </row>
    <row r="67" spans="1:81" ht="10.5" customHeight="1" x14ac:dyDescent="0.2">
      <c r="BI67" s="166" t="s">
        <v>7</v>
      </c>
      <c r="BJ67" s="86">
        <v>120</v>
      </c>
      <c r="BK67" s="86">
        <v>120</v>
      </c>
      <c r="BL67" s="86">
        <f>IF($G$7="Trento",1,0)</f>
        <v>1</v>
      </c>
      <c r="BM67" s="86">
        <f>IF($G$8="A",0,1)</f>
        <v>1</v>
      </c>
      <c r="BN67" s="173">
        <f>BJ67*BL67*BM67</f>
        <v>120</v>
      </c>
      <c r="BO67" s="173">
        <f>BK67*BL67*BM67</f>
        <v>120</v>
      </c>
      <c r="BP67" s="119" t="s">
        <v>124</v>
      </c>
      <c r="BQ67" s="120" t="s">
        <v>14</v>
      </c>
      <c r="BR67" s="121">
        <v>2</v>
      </c>
      <c r="BS67" s="86">
        <v>3.65</v>
      </c>
      <c r="BT67" s="86">
        <v>5.43</v>
      </c>
      <c r="BU67" s="116">
        <f t="shared" si="4"/>
        <v>0</v>
      </c>
      <c r="BV67" s="116">
        <f t="shared" si="5"/>
        <v>0</v>
      </c>
      <c r="BW67" s="116">
        <f t="shared" si="6"/>
        <v>0</v>
      </c>
      <c r="BX67" s="111">
        <f t="shared" si="11"/>
        <v>0</v>
      </c>
      <c r="BY67" s="117">
        <f t="shared" si="7"/>
        <v>0</v>
      </c>
      <c r="BZ67" s="117">
        <f t="shared" si="8"/>
        <v>0</v>
      </c>
      <c r="CA67" s="89"/>
      <c r="CB67" s="89" t="str">
        <f t="shared" si="12"/>
        <v/>
      </c>
      <c r="CC67" s="89" t="str">
        <f t="shared" si="13"/>
        <v/>
      </c>
    </row>
    <row r="68" spans="1:81" ht="10.5" customHeight="1" thickBot="1" x14ac:dyDescent="0.25">
      <c r="A68" s="372" t="s">
        <v>134</v>
      </c>
      <c r="B68" s="373"/>
      <c r="C68" s="373"/>
      <c r="D68" s="373"/>
      <c r="E68" s="373"/>
      <c r="F68" s="373"/>
      <c r="G68" s="373"/>
      <c r="H68" s="373"/>
      <c r="I68" s="374"/>
      <c r="J68" s="36"/>
      <c r="K68" s="370">
        <f>$AJ$48*AU60</f>
        <v>0</v>
      </c>
      <c r="L68" s="371"/>
      <c r="M68" s="371"/>
      <c r="N68" s="371"/>
      <c r="O68" s="371"/>
      <c r="Q68" s="370">
        <f>$AJ$48*AV60</f>
        <v>0</v>
      </c>
      <c r="R68" s="371"/>
      <c r="S68" s="371"/>
      <c r="T68" s="371"/>
      <c r="U68" s="371"/>
      <c r="W68" s="372" t="s">
        <v>132</v>
      </c>
      <c r="X68" s="373"/>
      <c r="Y68" s="373"/>
      <c r="Z68" s="373"/>
      <c r="AA68" s="373"/>
      <c r="AB68" s="373"/>
      <c r="AC68" s="373"/>
      <c r="AD68" s="373"/>
      <c r="AE68" s="374"/>
      <c r="AG68" s="384">
        <f>$AJ$48*AU64</f>
        <v>0</v>
      </c>
      <c r="AH68" s="385"/>
      <c r="AI68" s="385"/>
      <c r="AJ68" s="385"/>
      <c r="AK68" s="386"/>
      <c r="AM68" s="370">
        <f>$AJ$48*AV64</f>
        <v>0</v>
      </c>
      <c r="AN68" s="371"/>
      <c r="AO68" s="371"/>
      <c r="AP68" s="371"/>
      <c r="AQ68" s="371"/>
      <c r="BI68" s="166" t="s">
        <v>135</v>
      </c>
      <c r="BJ68" s="86">
        <v>115</v>
      </c>
      <c r="BK68" s="86">
        <v>115</v>
      </c>
      <c r="BL68" s="86">
        <f>IF($G$7="Trento",1,0)</f>
        <v>1</v>
      </c>
      <c r="BM68" s="86">
        <f>IF($G$8="A",1,0)</f>
        <v>0</v>
      </c>
      <c r="BN68" s="173">
        <f t="shared" ref="BN68:BN72" si="17">BJ68*BL68*BM68</f>
        <v>0</v>
      </c>
      <c r="BO68" s="173">
        <f t="shared" ref="BO68:BO72" si="18">BK68*BL68*BM68</f>
        <v>0</v>
      </c>
      <c r="BP68" s="123" t="s">
        <v>124</v>
      </c>
      <c r="BQ68" s="124" t="s">
        <v>14</v>
      </c>
      <c r="BR68" s="125">
        <v>3</v>
      </c>
      <c r="BS68" s="86">
        <v>2.88</v>
      </c>
      <c r="BT68" s="86">
        <v>4.6500000000000004</v>
      </c>
      <c r="BU68" s="116">
        <f t="shared" si="4"/>
        <v>0</v>
      </c>
      <c r="BV68" s="116">
        <f t="shared" si="5"/>
        <v>1</v>
      </c>
      <c r="BW68" s="116">
        <f t="shared" si="6"/>
        <v>0</v>
      </c>
      <c r="BX68" s="111">
        <f t="shared" si="11"/>
        <v>0</v>
      </c>
      <c r="BY68" s="117">
        <f t="shared" si="7"/>
        <v>0</v>
      </c>
      <c r="BZ68" s="117">
        <f t="shared" si="8"/>
        <v>0</v>
      </c>
      <c r="CA68" s="89"/>
      <c r="CB68" s="89" t="str">
        <f t="shared" si="12"/>
        <v/>
      </c>
      <c r="CC68" s="89" t="str">
        <f t="shared" si="13"/>
        <v/>
      </c>
    </row>
    <row r="69" spans="1:81" ht="10.5" customHeight="1" x14ac:dyDescent="0.2">
      <c r="A69" s="375"/>
      <c r="B69" s="376"/>
      <c r="C69" s="376"/>
      <c r="D69" s="376"/>
      <c r="E69" s="376"/>
      <c r="F69" s="376"/>
      <c r="G69" s="376"/>
      <c r="H69" s="376"/>
      <c r="I69" s="377"/>
      <c r="J69" s="36"/>
      <c r="K69" s="371"/>
      <c r="L69" s="371"/>
      <c r="M69" s="371"/>
      <c r="N69" s="371"/>
      <c r="O69" s="371"/>
      <c r="Q69" s="371"/>
      <c r="R69" s="371"/>
      <c r="S69" s="371"/>
      <c r="T69" s="371"/>
      <c r="U69" s="371"/>
      <c r="W69" s="375"/>
      <c r="X69" s="376"/>
      <c r="Y69" s="376"/>
      <c r="Z69" s="376"/>
      <c r="AA69" s="376"/>
      <c r="AB69" s="376"/>
      <c r="AC69" s="376"/>
      <c r="AD69" s="376"/>
      <c r="AE69" s="377"/>
      <c r="AG69" s="387"/>
      <c r="AH69" s="388"/>
      <c r="AI69" s="388"/>
      <c r="AJ69" s="388"/>
      <c r="AK69" s="389"/>
      <c r="AM69" s="371"/>
      <c r="AN69" s="371"/>
      <c r="AO69" s="371"/>
      <c r="AP69" s="371"/>
      <c r="AQ69" s="371"/>
      <c r="BC69" s="108" t="s">
        <v>136</v>
      </c>
      <c r="BD69" s="109"/>
      <c r="BE69" s="174" t="s">
        <v>101</v>
      </c>
      <c r="BF69" s="109"/>
      <c r="BG69" s="175" t="s">
        <v>102</v>
      </c>
      <c r="BI69" s="166" t="s">
        <v>8</v>
      </c>
      <c r="BJ69" s="86">
        <v>130</v>
      </c>
      <c r="BK69" s="86">
        <v>125</v>
      </c>
      <c r="BL69" s="86">
        <f>IF($G$7="Rovereto",1,0)</f>
        <v>0</v>
      </c>
      <c r="BM69" s="86">
        <v>1</v>
      </c>
      <c r="BN69" s="173">
        <f t="shared" si="17"/>
        <v>0</v>
      </c>
      <c r="BO69" s="173">
        <f t="shared" si="18"/>
        <v>0</v>
      </c>
      <c r="BU69" s="116">
        <f t="shared" si="4"/>
        <v>0</v>
      </c>
      <c r="BV69" s="116">
        <f t="shared" si="5"/>
        <v>0</v>
      </c>
      <c r="BW69" s="116">
        <f t="shared" si="6"/>
        <v>0</v>
      </c>
      <c r="BX69" s="111">
        <f t="shared" si="11"/>
        <v>0</v>
      </c>
      <c r="BY69" s="117">
        <f t="shared" si="7"/>
        <v>0</v>
      </c>
      <c r="BZ69" s="117">
        <f t="shared" si="8"/>
        <v>0</v>
      </c>
      <c r="CA69" s="89"/>
      <c r="CB69" s="89" t="str">
        <f t="shared" si="12"/>
        <v/>
      </c>
      <c r="CC69" s="89" t="str">
        <f t="shared" si="13"/>
        <v/>
      </c>
    </row>
    <row r="70" spans="1:81" ht="10.5" customHeight="1" x14ac:dyDescent="0.2">
      <c r="A70" s="372" t="s">
        <v>137</v>
      </c>
      <c r="B70" s="373"/>
      <c r="C70" s="373"/>
      <c r="D70" s="373"/>
      <c r="E70" s="373"/>
      <c r="F70" s="373"/>
      <c r="G70" s="373"/>
      <c r="H70" s="373"/>
      <c r="I70" s="374"/>
      <c r="J70" s="36"/>
      <c r="K70" s="370">
        <f>$AJ$48*AU61</f>
        <v>0</v>
      </c>
      <c r="L70" s="371"/>
      <c r="M70" s="371"/>
      <c r="N70" s="371"/>
      <c r="O70" s="371"/>
      <c r="Q70" s="370">
        <f>$AJ$48*AV61</f>
        <v>0</v>
      </c>
      <c r="R70" s="371"/>
      <c r="S70" s="371"/>
      <c r="T70" s="371"/>
      <c r="U70" s="371"/>
      <c r="W70" s="378" t="s">
        <v>138</v>
      </c>
      <c r="X70" s="379"/>
      <c r="Y70" s="379"/>
      <c r="Z70" s="379"/>
      <c r="AA70" s="379"/>
      <c r="AB70" s="379"/>
      <c r="AC70" s="379"/>
      <c r="AD70" s="379"/>
      <c r="AE70" s="380"/>
      <c r="AG70" s="370"/>
      <c r="AH70" s="371"/>
      <c r="AI70" s="371"/>
      <c r="AJ70" s="371"/>
      <c r="AK70" s="371"/>
      <c r="AM70" s="370"/>
      <c r="AN70" s="371"/>
      <c r="AO70" s="371"/>
      <c r="AP70" s="371"/>
      <c r="AQ70" s="371"/>
      <c r="BC70" s="176">
        <f>IF(AA62="SI",115,100)</f>
        <v>100</v>
      </c>
      <c r="BD70" s="99"/>
      <c r="BE70" s="99"/>
      <c r="BF70" s="99"/>
      <c r="BG70" s="177"/>
      <c r="BI70" s="166" t="s">
        <v>139</v>
      </c>
      <c r="BJ70" s="86">
        <v>130</v>
      </c>
      <c r="BK70" s="86">
        <v>0</v>
      </c>
      <c r="BL70" s="86">
        <f>IF($G$7="Riva Del Garda",1,0)</f>
        <v>0</v>
      </c>
      <c r="BM70" s="86">
        <v>1</v>
      </c>
      <c r="BN70" s="173">
        <f t="shared" si="17"/>
        <v>0</v>
      </c>
      <c r="BO70" s="173">
        <f t="shared" si="18"/>
        <v>0</v>
      </c>
    </row>
    <row r="71" spans="1:81" ht="10.5" customHeight="1" x14ac:dyDescent="0.2">
      <c r="A71" s="375"/>
      <c r="B71" s="376"/>
      <c r="C71" s="376"/>
      <c r="D71" s="376"/>
      <c r="E71" s="376"/>
      <c r="F71" s="376"/>
      <c r="G71" s="376"/>
      <c r="H71" s="376"/>
      <c r="I71" s="377"/>
      <c r="J71" s="36"/>
      <c r="K71" s="371"/>
      <c r="L71" s="371"/>
      <c r="M71" s="371"/>
      <c r="N71" s="371"/>
      <c r="O71" s="371"/>
      <c r="Q71" s="371"/>
      <c r="R71" s="371"/>
      <c r="S71" s="371"/>
      <c r="T71" s="371"/>
      <c r="U71" s="371"/>
      <c r="W71" s="381"/>
      <c r="X71" s="382"/>
      <c r="Y71" s="382"/>
      <c r="Z71" s="382"/>
      <c r="AA71" s="382"/>
      <c r="AB71" s="382"/>
      <c r="AC71" s="382"/>
      <c r="AD71" s="382"/>
      <c r="AE71" s="383"/>
      <c r="AG71" s="371"/>
      <c r="AH71" s="371"/>
      <c r="AI71" s="371"/>
      <c r="AJ71" s="371"/>
      <c r="AK71" s="371"/>
      <c r="AM71" s="371"/>
      <c r="AN71" s="371"/>
      <c r="AO71" s="371"/>
      <c r="AP71" s="371"/>
      <c r="AQ71" s="371"/>
      <c r="BC71" s="113"/>
      <c r="BD71" s="99"/>
      <c r="BE71" s="178">
        <f>SUM(BY12:BY69)*BC70/100</f>
        <v>3.12</v>
      </c>
      <c r="BF71" s="99"/>
      <c r="BG71" s="179">
        <f>SUM(BZ12:BZ69)*BC70/100</f>
        <v>5.72</v>
      </c>
      <c r="BI71" s="166" t="s">
        <v>10</v>
      </c>
      <c r="BJ71" s="86">
        <v>130</v>
      </c>
      <c r="BK71" s="86">
        <v>0</v>
      </c>
      <c r="BL71" s="86">
        <f>IF($G$7="Pergine Valsugana",1,0)</f>
        <v>0</v>
      </c>
      <c r="BM71" s="86">
        <v>1</v>
      </c>
      <c r="BN71" s="173">
        <f t="shared" si="17"/>
        <v>0</v>
      </c>
      <c r="BO71" s="173">
        <f t="shared" si="18"/>
        <v>0</v>
      </c>
    </row>
    <row r="72" spans="1:81" ht="10.5" customHeight="1" x14ac:dyDescent="0.2">
      <c r="A72" s="372" t="s">
        <v>140</v>
      </c>
      <c r="B72" s="373"/>
      <c r="C72" s="373"/>
      <c r="D72" s="373"/>
      <c r="E72" s="373"/>
      <c r="F72" s="373"/>
      <c r="G72" s="373"/>
      <c r="H72" s="373"/>
      <c r="I72" s="374"/>
      <c r="J72" s="36"/>
      <c r="K72" s="370">
        <f>$AJ$48*AU62</f>
        <v>0</v>
      </c>
      <c r="L72" s="371"/>
      <c r="M72" s="371"/>
      <c r="N72" s="371"/>
      <c r="O72" s="371"/>
      <c r="Q72" s="370">
        <f>$AJ$48*AV62</f>
        <v>0</v>
      </c>
      <c r="R72" s="371"/>
      <c r="S72" s="371"/>
      <c r="T72" s="371"/>
      <c r="U72" s="371"/>
      <c r="W72" s="36"/>
      <c r="X72" s="36"/>
      <c r="Y72" s="36"/>
      <c r="Z72" s="36"/>
      <c r="AA72" s="36"/>
      <c r="AB72" s="36"/>
      <c r="AC72" s="36"/>
      <c r="AD72" s="36"/>
      <c r="AE72" s="36"/>
      <c r="AF72" s="30"/>
      <c r="AG72" s="43"/>
      <c r="AH72" s="36"/>
      <c r="AI72" s="36"/>
      <c r="AJ72" s="36"/>
      <c r="AK72" s="36"/>
      <c r="AL72" s="30"/>
      <c r="AM72" s="43"/>
      <c r="AN72" s="36"/>
      <c r="AO72" s="36"/>
      <c r="AP72" s="36"/>
      <c r="AQ72" s="36"/>
      <c r="BC72" s="180" t="s">
        <v>141</v>
      </c>
      <c r="BD72" s="181">
        <v>0</v>
      </c>
      <c r="BE72" s="99"/>
      <c r="BF72" s="99"/>
      <c r="BG72" s="114"/>
      <c r="BI72" s="166" t="s">
        <v>11</v>
      </c>
      <c r="BJ72" s="86">
        <v>130</v>
      </c>
      <c r="BK72" s="86">
        <v>0</v>
      </c>
      <c r="BL72" s="86">
        <f>IF($G$7="Arco",1,0)</f>
        <v>0</v>
      </c>
      <c r="BM72" s="86">
        <v>1</v>
      </c>
      <c r="BN72" s="173">
        <f t="shared" si="17"/>
        <v>0</v>
      </c>
      <c r="BO72" s="173">
        <f t="shared" si="18"/>
        <v>0</v>
      </c>
    </row>
    <row r="73" spans="1:81" ht="10.5" customHeight="1" x14ac:dyDescent="0.2">
      <c r="A73" s="375"/>
      <c r="B73" s="376"/>
      <c r="C73" s="376"/>
      <c r="D73" s="376"/>
      <c r="E73" s="376"/>
      <c r="F73" s="376"/>
      <c r="G73" s="376"/>
      <c r="H73" s="376"/>
      <c r="I73" s="377"/>
      <c r="J73" s="36"/>
      <c r="K73" s="371"/>
      <c r="L73" s="371"/>
      <c r="M73" s="371"/>
      <c r="N73" s="371"/>
      <c r="O73" s="371"/>
      <c r="Q73" s="371"/>
      <c r="R73" s="371"/>
      <c r="S73" s="371"/>
      <c r="T73" s="371"/>
      <c r="U73" s="371"/>
      <c r="W73" s="36"/>
      <c r="X73" s="36"/>
      <c r="Y73" s="36"/>
      <c r="Z73" s="36"/>
      <c r="AA73" s="36"/>
      <c r="AB73" s="36"/>
      <c r="AC73" s="36"/>
      <c r="AD73" s="36"/>
      <c r="AE73" s="36"/>
      <c r="AF73" s="30"/>
      <c r="AG73" s="36"/>
      <c r="AH73" s="36"/>
      <c r="AI73" s="36"/>
      <c r="AJ73" s="36"/>
      <c r="AK73" s="36"/>
      <c r="AL73" s="30"/>
      <c r="AM73" s="36"/>
      <c r="AN73" s="36"/>
      <c r="AO73" s="36"/>
      <c r="AP73" s="36"/>
      <c r="AQ73" s="36"/>
      <c r="BC73" s="113"/>
      <c r="BD73" s="182" t="s">
        <v>142</v>
      </c>
      <c r="BE73" s="183">
        <f>BE71*BD72/100</f>
        <v>0</v>
      </c>
      <c r="BF73" s="99"/>
      <c r="BG73" s="184">
        <f>BG71*BD72/100</f>
        <v>0</v>
      </c>
    </row>
    <row r="74" spans="1:81" ht="10.5" customHeight="1" x14ac:dyDescent="0.2">
      <c r="A74" s="372" t="s">
        <v>143</v>
      </c>
      <c r="B74" s="373"/>
      <c r="C74" s="373"/>
      <c r="D74" s="373"/>
      <c r="E74" s="373"/>
      <c r="F74" s="373"/>
      <c r="G74" s="373"/>
      <c r="H74" s="373"/>
      <c r="I74" s="374"/>
      <c r="J74" s="36"/>
      <c r="K74" s="370">
        <f>$AJ$48*AU63</f>
        <v>0</v>
      </c>
      <c r="L74" s="371"/>
      <c r="M74" s="371"/>
      <c r="N74" s="371"/>
      <c r="O74" s="371"/>
      <c r="Q74" s="370">
        <f>$AJ$48*AV63</f>
        <v>0</v>
      </c>
      <c r="R74" s="371"/>
      <c r="S74" s="371"/>
      <c r="T74" s="371"/>
      <c r="U74" s="371"/>
      <c r="W74" s="372" t="str">
        <f>IF(BH59="OK","Studenti","")</f>
        <v>Studenti</v>
      </c>
      <c r="X74" s="373"/>
      <c r="Y74" s="373"/>
      <c r="Z74" s="373"/>
      <c r="AA74" s="373"/>
      <c r="AB74" s="373"/>
      <c r="AC74" s="373"/>
      <c r="AD74" s="373"/>
      <c r="AE74" s="374"/>
      <c r="AG74" s="384">
        <f>$AJ$48*AU65</f>
        <v>0</v>
      </c>
      <c r="AH74" s="385"/>
      <c r="AI74" s="385"/>
      <c r="AJ74" s="385"/>
      <c r="AK74" s="386"/>
      <c r="AM74" s="384">
        <f>$AJ$48*AV65</f>
        <v>0</v>
      </c>
      <c r="AN74" s="385"/>
      <c r="AO74" s="385"/>
      <c r="AP74" s="385"/>
      <c r="AQ74" s="386"/>
      <c r="BC74" s="180" t="s">
        <v>144</v>
      </c>
      <c r="BD74" s="185">
        <v>0</v>
      </c>
      <c r="BE74" s="99"/>
      <c r="BF74" s="99"/>
      <c r="BG74" s="114"/>
      <c r="BN74" s="186">
        <f>SUM(BN67:BN72)</f>
        <v>120</v>
      </c>
      <c r="BO74" s="187">
        <f>SUM(BO67:BO72)</f>
        <v>120</v>
      </c>
    </row>
    <row r="75" spans="1:81" ht="10.5" customHeight="1" x14ac:dyDescent="0.2">
      <c r="A75" s="375"/>
      <c r="B75" s="376"/>
      <c r="C75" s="376"/>
      <c r="D75" s="376"/>
      <c r="E75" s="376"/>
      <c r="F75" s="376"/>
      <c r="G75" s="376"/>
      <c r="H75" s="376"/>
      <c r="I75" s="377"/>
      <c r="J75" s="36"/>
      <c r="K75" s="371"/>
      <c r="L75" s="371"/>
      <c r="M75" s="371"/>
      <c r="N75" s="371"/>
      <c r="O75" s="371"/>
      <c r="Q75" s="371"/>
      <c r="R75" s="371"/>
      <c r="S75" s="371"/>
      <c r="T75" s="371"/>
      <c r="U75" s="371"/>
      <c r="W75" s="375"/>
      <c r="X75" s="376"/>
      <c r="Y75" s="376"/>
      <c r="Z75" s="376"/>
      <c r="AA75" s="376"/>
      <c r="AB75" s="376"/>
      <c r="AC75" s="376"/>
      <c r="AD75" s="376"/>
      <c r="AE75" s="377"/>
      <c r="AG75" s="387"/>
      <c r="AH75" s="388"/>
      <c r="AI75" s="388"/>
      <c r="AJ75" s="388"/>
      <c r="AK75" s="389"/>
      <c r="AM75" s="387"/>
      <c r="AN75" s="388"/>
      <c r="AO75" s="388"/>
      <c r="AP75" s="388"/>
      <c r="AQ75" s="389"/>
      <c r="BC75" s="113"/>
      <c r="BD75" s="182" t="s">
        <v>142</v>
      </c>
      <c r="BE75" s="183">
        <f>BE73*BD74/100</f>
        <v>0</v>
      </c>
      <c r="BF75" s="99"/>
      <c r="BG75" s="184">
        <f>BG73*BD74/100</f>
        <v>0</v>
      </c>
    </row>
    <row r="76" spans="1:81" ht="10.5" hidden="1" customHeight="1" x14ac:dyDescent="0.2">
      <c r="AR76" s="390" t="s">
        <v>145</v>
      </c>
      <c r="AS76" s="390"/>
      <c r="AT76" s="390"/>
      <c r="AU76" s="390"/>
      <c r="AV76" s="390"/>
      <c r="AW76" s="390"/>
      <c r="AX76" s="390"/>
      <c r="AY76" s="390"/>
      <c r="AZ76" s="390"/>
      <c r="BA76" s="390"/>
      <c r="BC76" s="180" t="s">
        <v>146</v>
      </c>
      <c r="BD76" s="185">
        <v>0</v>
      </c>
      <c r="BE76" s="99"/>
      <c r="BF76" s="99"/>
      <c r="BG76" s="114"/>
    </row>
    <row r="77" spans="1:81" ht="10.5" hidden="1" customHeight="1" x14ac:dyDescent="0.2">
      <c r="AR77" s="390"/>
      <c r="AS77" s="390"/>
      <c r="AT77" s="390"/>
      <c r="AU77" s="390"/>
      <c r="AV77" s="390"/>
      <c r="AW77" s="390"/>
      <c r="AX77" s="390"/>
      <c r="AY77" s="390"/>
      <c r="AZ77" s="390"/>
      <c r="BA77" s="390"/>
      <c r="BC77" s="113"/>
      <c r="BD77" s="182" t="s">
        <v>142</v>
      </c>
      <c r="BE77" s="183">
        <f>BE75*BD76/100</f>
        <v>0</v>
      </c>
      <c r="BF77" s="99"/>
      <c r="BG77" s="184">
        <f>BG75*BD76/100</f>
        <v>0</v>
      </c>
    </row>
    <row r="78" spans="1:81" ht="10.5" hidden="1" customHeight="1" x14ac:dyDescent="0.2">
      <c r="A78" s="391" t="s">
        <v>147</v>
      </c>
      <c r="B78" s="391"/>
      <c r="C78" s="391"/>
      <c r="D78" s="391"/>
      <c r="E78" s="391"/>
      <c r="F78" s="391"/>
      <c r="G78" s="391"/>
      <c r="H78" s="391"/>
      <c r="I78" s="391"/>
      <c r="J78" s="391"/>
      <c r="K78" s="391"/>
      <c r="L78" s="391"/>
      <c r="M78" s="391"/>
      <c r="N78" s="391"/>
      <c r="O78" s="391"/>
      <c r="P78" s="391"/>
      <c r="Q78" s="391"/>
      <c r="R78" s="391"/>
      <c r="S78" s="391"/>
      <c r="T78" s="391"/>
      <c r="U78" s="391"/>
      <c r="V78" s="391"/>
      <c r="W78" s="391"/>
      <c r="X78" s="391"/>
      <c r="Y78" s="391"/>
      <c r="Z78" s="391"/>
      <c r="AA78" s="391"/>
      <c r="AB78" s="391"/>
      <c r="AC78" s="391"/>
      <c r="AD78" s="391"/>
      <c r="AE78" s="391"/>
      <c r="AF78" s="391"/>
      <c r="AG78" s="391"/>
      <c r="AH78" s="391"/>
      <c r="AI78" s="391"/>
      <c r="AJ78" s="391"/>
      <c r="AK78" s="391"/>
      <c r="AL78" s="391"/>
      <c r="AM78" s="391"/>
      <c r="AN78" s="391"/>
      <c r="AO78" s="391"/>
      <c r="AP78" s="391"/>
      <c r="AQ78" s="391"/>
      <c r="BC78" s="180" t="s">
        <v>148</v>
      </c>
      <c r="BD78" s="185">
        <v>0</v>
      </c>
      <c r="BE78" s="99"/>
      <c r="BF78" s="99"/>
      <c r="BG78" s="114"/>
    </row>
    <row r="79" spans="1:81" ht="10.5" hidden="1" customHeight="1" x14ac:dyDescent="0.2">
      <c r="A79" s="391"/>
      <c r="B79" s="391"/>
      <c r="C79" s="391"/>
      <c r="D79" s="391"/>
      <c r="E79" s="391"/>
      <c r="F79" s="391"/>
      <c r="G79" s="391"/>
      <c r="H79" s="391"/>
      <c r="I79" s="391"/>
      <c r="J79" s="391"/>
      <c r="K79" s="391"/>
      <c r="L79" s="391"/>
      <c r="M79" s="391"/>
      <c r="N79" s="391"/>
      <c r="O79" s="391"/>
      <c r="P79" s="391"/>
      <c r="Q79" s="391"/>
      <c r="R79" s="391"/>
      <c r="S79" s="391"/>
      <c r="T79" s="391"/>
      <c r="U79" s="391"/>
      <c r="V79" s="391"/>
      <c r="W79" s="391"/>
      <c r="X79" s="391"/>
      <c r="Y79" s="391"/>
      <c r="Z79" s="391"/>
      <c r="AA79" s="391"/>
      <c r="AB79" s="391"/>
      <c r="AC79" s="391"/>
      <c r="AD79" s="391"/>
      <c r="AE79" s="391"/>
      <c r="AF79" s="391"/>
      <c r="AG79" s="391"/>
      <c r="AH79" s="391"/>
      <c r="AI79" s="391"/>
      <c r="AJ79" s="391"/>
      <c r="AK79" s="391"/>
      <c r="AL79" s="391"/>
      <c r="AM79" s="391"/>
      <c r="AN79" s="391"/>
      <c r="AO79" s="391"/>
      <c r="AP79" s="391"/>
      <c r="AQ79" s="391"/>
      <c r="BC79" s="113"/>
      <c r="BD79" s="182" t="s">
        <v>142</v>
      </c>
      <c r="BE79" s="183">
        <f>BE77*BD78/100</f>
        <v>0</v>
      </c>
      <c r="BF79" s="99"/>
      <c r="BG79" s="184">
        <f>BG77*BD78/100</f>
        <v>0</v>
      </c>
    </row>
    <row r="80" spans="1:81" ht="10.5" hidden="1" customHeight="1" x14ac:dyDescent="0.2">
      <c r="A80" s="392" t="str">
        <f>CONCATENATE("L'unione Piccoli Proprietari Immobiliari, firmataria dell'Accordo Territoriale Per il Comune di ",BL9,", PREMESSO CHE ",AR29,", locatore/i dell'immobile sito in ",AR25," - zona ",G8," - P.Ed. ",AR26," - Sub. ",AR27," con contratto di tipo ",AR33,", decorrenza ",AR35," stipulato con ",AR31," e canone mensile pari a euro ",AR34," ha presentato richiesta per l'attestazione ex D.M. 16/01/2017 dichiarando sotto la sua responsabilità i seguenti elementi")</f>
        <v>L'unione Piccoli Proprietari Immobiliari, firmataria dell'Accordo Territoriale Per il Comune di TRENTO, PREMESSO CHE PROPRIETARI, locatore/i dell'immobile sito in INDIRIZZO IMMOBILE - zona F - P.Ed. PARTICELLA EDIFICIALE - Sub. SUBALTERNO con contratto di tipo TIPO CONTRATTO, decorrenza 01/01/2025 stipulato con INQUILINI e canone mensile pari a euro 100,00 ha presentato richiesta per l'attestazione ex D.M. 16/01/2017 dichiarando sotto la sua responsabilità i seguenti elementi</v>
      </c>
      <c r="B80" s="392"/>
      <c r="C80" s="392"/>
      <c r="D80" s="392"/>
      <c r="E80" s="392"/>
      <c r="F80" s="392"/>
      <c r="G80" s="392"/>
      <c r="H80" s="392"/>
      <c r="I80" s="392"/>
      <c r="J80" s="392"/>
      <c r="K80" s="392"/>
      <c r="L80" s="392"/>
      <c r="M80" s="392"/>
      <c r="N80" s="392"/>
      <c r="O80" s="392"/>
      <c r="P80" s="392"/>
      <c r="Q80" s="392"/>
      <c r="R80" s="392"/>
      <c r="S80" s="392"/>
      <c r="T80" s="392"/>
      <c r="U80" s="392"/>
      <c r="V80" s="392"/>
      <c r="W80" s="392"/>
      <c r="X80" s="392"/>
      <c r="Y80" s="392"/>
      <c r="Z80" s="392"/>
      <c r="AA80" s="392"/>
      <c r="AB80" s="392"/>
      <c r="AC80" s="392"/>
      <c r="AD80" s="392"/>
      <c r="AE80" s="392"/>
      <c r="AF80" s="392"/>
      <c r="AG80" s="392"/>
      <c r="AH80" s="392"/>
      <c r="AI80" s="392"/>
      <c r="AJ80" s="392"/>
      <c r="AK80" s="392"/>
      <c r="AL80" s="392"/>
      <c r="AM80" s="392"/>
      <c r="AN80" s="392"/>
      <c r="AO80" s="392"/>
      <c r="AP80" s="392"/>
      <c r="AQ80" s="392"/>
      <c r="BC80" s="113"/>
      <c r="BD80" s="99"/>
      <c r="BE80" s="99"/>
      <c r="BF80" s="99"/>
      <c r="BG80" s="114"/>
    </row>
    <row r="81" spans="1:74" ht="10.5" hidden="1" customHeight="1" x14ac:dyDescent="0.2">
      <c r="A81" s="392"/>
      <c r="B81" s="392"/>
      <c r="C81" s="392"/>
      <c r="D81" s="392"/>
      <c r="E81" s="392"/>
      <c r="F81" s="392"/>
      <c r="G81" s="392"/>
      <c r="H81" s="392"/>
      <c r="I81" s="392"/>
      <c r="J81" s="392"/>
      <c r="K81" s="392"/>
      <c r="L81" s="392"/>
      <c r="M81" s="392"/>
      <c r="N81" s="392"/>
      <c r="O81" s="392"/>
      <c r="P81" s="392"/>
      <c r="Q81" s="392"/>
      <c r="R81" s="392"/>
      <c r="S81" s="392"/>
      <c r="T81" s="392"/>
      <c r="U81" s="392"/>
      <c r="V81" s="392"/>
      <c r="W81" s="392"/>
      <c r="X81" s="392"/>
      <c r="Y81" s="392"/>
      <c r="Z81" s="392"/>
      <c r="AA81" s="392"/>
      <c r="AB81" s="392"/>
      <c r="AC81" s="392"/>
      <c r="AD81" s="392"/>
      <c r="AE81" s="392"/>
      <c r="AF81" s="392"/>
      <c r="AG81" s="392"/>
      <c r="AH81" s="392"/>
      <c r="AI81" s="392"/>
      <c r="AJ81" s="392"/>
      <c r="AK81" s="392"/>
      <c r="AL81" s="392"/>
      <c r="AM81" s="392"/>
      <c r="AN81" s="392"/>
      <c r="AO81" s="392"/>
      <c r="AP81" s="392"/>
      <c r="AQ81" s="392"/>
      <c r="BC81" s="113"/>
      <c r="BD81" s="99"/>
      <c r="BE81" s="99"/>
      <c r="BF81" s="99"/>
      <c r="BG81" s="114"/>
    </row>
    <row r="82" spans="1:74" ht="10.5" hidden="1" customHeight="1" x14ac:dyDescent="0.2">
      <c r="A82" s="392"/>
      <c r="B82" s="392"/>
      <c r="C82" s="392"/>
      <c r="D82" s="392"/>
      <c r="E82" s="392"/>
      <c r="F82" s="392"/>
      <c r="G82" s="392"/>
      <c r="H82" s="392"/>
      <c r="I82" s="392"/>
      <c r="J82" s="392"/>
      <c r="K82" s="392"/>
      <c r="L82" s="392"/>
      <c r="M82" s="392"/>
      <c r="N82" s="392"/>
      <c r="O82" s="392"/>
      <c r="P82" s="392"/>
      <c r="Q82" s="392"/>
      <c r="R82" s="392"/>
      <c r="S82" s="392"/>
      <c r="T82" s="392"/>
      <c r="U82" s="392"/>
      <c r="V82" s="392"/>
      <c r="W82" s="392"/>
      <c r="X82" s="392"/>
      <c r="Y82" s="392"/>
      <c r="Z82" s="392"/>
      <c r="AA82" s="392"/>
      <c r="AB82" s="392"/>
      <c r="AC82" s="392"/>
      <c r="AD82" s="392"/>
      <c r="AE82" s="392"/>
      <c r="AF82" s="392"/>
      <c r="AG82" s="392"/>
      <c r="AH82" s="392"/>
      <c r="AI82" s="392"/>
      <c r="AJ82" s="392"/>
      <c r="AK82" s="392"/>
      <c r="AL82" s="392"/>
      <c r="AM82" s="392"/>
      <c r="AN82" s="392"/>
      <c r="AO82" s="392"/>
      <c r="AP82" s="392"/>
      <c r="AQ82" s="392"/>
      <c r="BC82" s="113"/>
      <c r="BD82" s="99"/>
      <c r="BE82" s="99"/>
      <c r="BF82" s="99"/>
      <c r="BG82" s="114"/>
    </row>
    <row r="83" spans="1:74" ht="10.5" hidden="1" customHeight="1" x14ac:dyDescent="0.2">
      <c r="A83" s="392"/>
      <c r="B83" s="392"/>
      <c r="C83" s="392"/>
      <c r="D83" s="392"/>
      <c r="E83" s="392"/>
      <c r="F83" s="392"/>
      <c r="G83" s="392"/>
      <c r="H83" s="392"/>
      <c r="I83" s="392"/>
      <c r="J83" s="392"/>
      <c r="K83" s="392"/>
      <c r="L83" s="392"/>
      <c r="M83" s="392"/>
      <c r="N83" s="392"/>
      <c r="O83" s="392"/>
      <c r="P83" s="392"/>
      <c r="Q83" s="392"/>
      <c r="R83" s="392"/>
      <c r="S83" s="392"/>
      <c r="T83" s="392"/>
      <c r="U83" s="392"/>
      <c r="V83" s="392"/>
      <c r="W83" s="392"/>
      <c r="X83" s="392"/>
      <c r="Y83" s="392"/>
      <c r="Z83" s="392"/>
      <c r="AA83" s="392"/>
      <c r="AB83" s="392"/>
      <c r="AC83" s="392"/>
      <c r="AD83" s="392"/>
      <c r="AE83" s="392"/>
      <c r="AF83" s="392"/>
      <c r="AG83" s="392"/>
      <c r="AH83" s="392"/>
      <c r="AI83" s="392"/>
      <c r="AJ83" s="392"/>
      <c r="AK83" s="392"/>
      <c r="AL83" s="392"/>
      <c r="AM83" s="392"/>
      <c r="AN83" s="392"/>
      <c r="AO83" s="392"/>
      <c r="AP83" s="392"/>
      <c r="AQ83" s="392"/>
      <c r="BC83" s="113"/>
      <c r="BD83" s="99"/>
      <c r="BE83" s="99"/>
      <c r="BF83" s="99"/>
      <c r="BG83" s="114"/>
    </row>
    <row r="84" spans="1:74" ht="10.5" hidden="1" customHeight="1" x14ac:dyDescent="0.2">
      <c r="A84" s="392"/>
      <c r="B84" s="392"/>
      <c r="C84" s="392"/>
      <c r="D84" s="392"/>
      <c r="E84" s="392"/>
      <c r="F84" s="392"/>
      <c r="G84" s="392"/>
      <c r="H84" s="392"/>
      <c r="I84" s="392"/>
      <c r="J84" s="392"/>
      <c r="K84" s="392"/>
      <c r="L84" s="392"/>
      <c r="M84" s="392"/>
      <c r="N84" s="392"/>
      <c r="O84" s="392"/>
      <c r="P84" s="392"/>
      <c r="Q84" s="392"/>
      <c r="R84" s="392"/>
      <c r="S84" s="392"/>
      <c r="T84" s="392"/>
      <c r="U84" s="392"/>
      <c r="V84" s="392"/>
      <c r="W84" s="392"/>
      <c r="X84" s="392"/>
      <c r="Y84" s="392"/>
      <c r="Z84" s="392"/>
      <c r="AA84" s="392"/>
      <c r="AB84" s="392"/>
      <c r="AC84" s="392"/>
      <c r="AD84" s="392"/>
      <c r="AE84" s="392"/>
      <c r="AF84" s="392"/>
      <c r="AG84" s="392"/>
      <c r="AH84" s="392"/>
      <c r="AI84" s="392"/>
      <c r="AJ84" s="392"/>
      <c r="AK84" s="392"/>
      <c r="AL84" s="392"/>
      <c r="AM84" s="392"/>
      <c r="AN84" s="392"/>
      <c r="AO84" s="392"/>
      <c r="AP84" s="392"/>
      <c r="AQ84" s="392"/>
      <c r="BC84" s="113"/>
      <c r="BD84" s="99"/>
      <c r="BE84" s="99"/>
      <c r="BF84" s="99"/>
      <c r="BG84" s="114"/>
    </row>
    <row r="85" spans="1:74" ht="10.5" hidden="1" customHeight="1" x14ac:dyDescent="0.2">
      <c r="A85" s="392"/>
      <c r="B85" s="392"/>
      <c r="C85" s="392"/>
      <c r="D85" s="392"/>
      <c r="E85" s="392"/>
      <c r="F85" s="392"/>
      <c r="G85" s="392"/>
      <c r="H85" s="392"/>
      <c r="I85" s="392"/>
      <c r="J85" s="392"/>
      <c r="K85" s="392"/>
      <c r="L85" s="392"/>
      <c r="M85" s="392"/>
      <c r="N85" s="392"/>
      <c r="O85" s="392"/>
      <c r="P85" s="392"/>
      <c r="Q85" s="392"/>
      <c r="R85" s="392"/>
      <c r="S85" s="392"/>
      <c r="T85" s="392"/>
      <c r="U85" s="392"/>
      <c r="V85" s="392"/>
      <c r="W85" s="392"/>
      <c r="X85" s="392"/>
      <c r="Y85" s="392"/>
      <c r="Z85" s="392"/>
      <c r="AA85" s="392"/>
      <c r="AB85" s="392"/>
      <c r="AC85" s="392"/>
      <c r="AD85" s="392"/>
      <c r="AE85" s="392"/>
      <c r="AF85" s="392"/>
      <c r="AG85" s="392"/>
      <c r="AH85" s="392"/>
      <c r="AI85" s="392"/>
      <c r="AJ85" s="392"/>
      <c r="AK85" s="392"/>
      <c r="AL85" s="392"/>
      <c r="AM85" s="392"/>
      <c r="AN85" s="392"/>
      <c r="AO85" s="392"/>
      <c r="AP85" s="392"/>
      <c r="AQ85" s="392"/>
      <c r="BC85" s="113"/>
      <c r="BD85" s="99"/>
      <c r="BE85" s="99"/>
      <c r="BF85" s="99"/>
      <c r="BG85" s="114"/>
    </row>
    <row r="86" spans="1:74" ht="9.75" hidden="1" customHeight="1" x14ac:dyDescent="0.2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BC86" s="99"/>
      <c r="BD86" s="99"/>
      <c r="BE86" s="99"/>
      <c r="BF86" s="99"/>
      <c r="BG86" s="99"/>
    </row>
    <row r="87" spans="1:74" ht="9.75" hidden="1" customHeight="1" x14ac:dyDescent="0.2">
      <c r="R87" s="26" t="s">
        <v>21</v>
      </c>
      <c r="AB87" s="296" t="s">
        <v>26</v>
      </c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8"/>
    </row>
    <row r="88" spans="1:74" ht="9.75" hidden="1" customHeight="1" x14ac:dyDescent="0.2">
      <c r="R88" s="83" t="s">
        <v>24</v>
      </c>
      <c r="T88" s="334" t="str">
        <f>IF(T12="X","X","")</f>
        <v/>
      </c>
      <c r="U88" s="334"/>
      <c r="W88" s="225" t="str">
        <f>W12</f>
        <v>B</v>
      </c>
      <c r="X88" s="226"/>
      <c r="Y88" s="227"/>
      <c r="AB88" s="299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1"/>
      <c r="BJ88" s="188" t="str">
        <f>CONCATENATE(BU95,BU103,BU109,BU115,BU121)</f>
        <v>Metratura fino a 40,99mq</v>
      </c>
    </row>
    <row r="89" spans="1:74" ht="9.75" hidden="1" customHeight="1" x14ac:dyDescent="0.2">
      <c r="R89" s="83" t="s">
        <v>25</v>
      </c>
      <c r="T89" s="334" t="str">
        <f>IF(T13="X","X","")</f>
        <v/>
      </c>
      <c r="U89" s="334"/>
      <c r="W89" s="251"/>
      <c r="X89" s="252"/>
      <c r="Y89" s="253"/>
      <c r="BC89" s="189" t="str">
        <f>IF(BD52&gt;0,"Nord","")</f>
        <v/>
      </c>
      <c r="BD89" s="87">
        <f>IF(BC89="",0,1)</f>
        <v>0</v>
      </c>
      <c r="BI89" s="134" t="str">
        <f>G7</f>
        <v>Trento</v>
      </c>
      <c r="BJ89" s="190" t="str">
        <f>CONCATENATE(BV95,BV103,BV109,BV115,BV121)</f>
        <v>Aumento 40%</v>
      </c>
    </row>
    <row r="90" spans="1:74" ht="9.75" hidden="1" customHeight="1" x14ac:dyDescent="0.2">
      <c r="R90" s="83" t="s">
        <v>27</v>
      </c>
      <c r="T90" s="334" t="str">
        <f>IF(T14="X","X","")</f>
        <v/>
      </c>
      <c r="U90" s="334"/>
      <c r="W90" s="228"/>
      <c r="X90" s="229"/>
      <c r="Y90" s="230"/>
      <c r="BC90" s="189" t="str">
        <f>IF(BD53&gt;0,"Est","")</f>
        <v/>
      </c>
      <c r="BD90" s="87">
        <f>IF(BC90="",0,1)</f>
        <v>0</v>
      </c>
      <c r="BJ90" s="87" t="s">
        <v>149</v>
      </c>
    </row>
    <row r="91" spans="1:74" ht="9.75" hidden="1" customHeight="1" x14ac:dyDescent="0.2">
      <c r="AB91" s="223" t="s">
        <v>30</v>
      </c>
      <c r="AC91" s="223"/>
      <c r="AD91" s="223"/>
      <c r="AE91" s="223"/>
      <c r="AF91" s="223"/>
      <c r="AG91" s="223"/>
      <c r="AH91" s="223"/>
      <c r="AJ91" s="303">
        <f>AJ17</f>
        <v>0</v>
      </c>
      <c r="AK91" s="304"/>
      <c r="AL91" s="304"/>
      <c r="AM91" s="304"/>
      <c r="AN91" s="304"/>
      <c r="AO91" s="304"/>
      <c r="AP91" s="304"/>
      <c r="AQ91" s="305"/>
      <c r="BC91" s="189" t="str">
        <f>IF(BD54&gt;0,"Ovest","")</f>
        <v/>
      </c>
      <c r="BD91" s="87">
        <f>IF(BC91="",0,1)</f>
        <v>0</v>
      </c>
      <c r="BI91" s="166" t="s">
        <v>150</v>
      </c>
      <c r="BJ91" s="87" t="s">
        <v>149</v>
      </c>
    </row>
    <row r="92" spans="1:74" ht="9.75" hidden="1" customHeight="1" x14ac:dyDescent="0.2">
      <c r="R92" s="26" t="s">
        <v>28</v>
      </c>
      <c r="AB92" s="223"/>
      <c r="AC92" s="223"/>
      <c r="AD92" s="223"/>
      <c r="AE92" s="223"/>
      <c r="AF92" s="223"/>
      <c r="AG92" s="223"/>
      <c r="AH92" s="223"/>
      <c r="AJ92" s="306"/>
      <c r="AK92" s="307"/>
      <c r="AL92" s="307"/>
      <c r="AM92" s="307"/>
      <c r="AN92" s="307"/>
      <c r="AO92" s="307"/>
      <c r="AP92" s="307"/>
      <c r="AQ92" s="308"/>
      <c r="BC92" s="189" t="str">
        <f>IF(BD56&gt;0,"Sud","")</f>
        <v/>
      </c>
      <c r="BD92" s="87">
        <f>IF(BC92="",0,1)</f>
        <v>0</v>
      </c>
      <c r="BI92" s="191">
        <f>AJ42</f>
        <v>0</v>
      </c>
      <c r="BJ92" s="192">
        <f>SUM(BR95:BR126)</f>
        <v>0</v>
      </c>
    </row>
    <row r="93" spans="1:74" ht="9.75" hidden="1" customHeight="1" x14ac:dyDescent="0.2">
      <c r="R93" s="83" t="s">
        <v>29</v>
      </c>
      <c r="T93" s="334" t="str">
        <f>IF(T17="X","X","")</f>
        <v/>
      </c>
      <c r="U93" s="334"/>
      <c r="W93" s="225" t="str">
        <f>W17</f>
        <v>B</v>
      </c>
      <c r="X93" s="226"/>
      <c r="Y93" s="227"/>
      <c r="AP93" s="27"/>
      <c r="AQ93" s="28" t="s">
        <v>108</v>
      </c>
      <c r="BK93" s="87" t="s">
        <v>151</v>
      </c>
      <c r="BL93" s="87" t="s">
        <v>152</v>
      </c>
      <c r="BM93" s="87" t="s">
        <v>153</v>
      </c>
      <c r="BN93" s="87" t="s">
        <v>154</v>
      </c>
      <c r="BO93" s="87" t="s">
        <v>155</v>
      </c>
      <c r="BP93" s="87" t="s">
        <v>156</v>
      </c>
      <c r="BQ93" s="87" t="s">
        <v>157</v>
      </c>
      <c r="BR93" s="87" t="s">
        <v>158</v>
      </c>
      <c r="BS93" s="86" t="s">
        <v>159</v>
      </c>
      <c r="BT93" s="86" t="s">
        <v>160</v>
      </c>
    </row>
    <row r="94" spans="1:74" ht="9.75" hidden="1" customHeight="1" x14ac:dyDescent="0.2">
      <c r="R94" s="83" t="s">
        <v>31</v>
      </c>
      <c r="T94" s="334" t="str">
        <f>IF(T18="X","X","")</f>
        <v/>
      </c>
      <c r="U94" s="334"/>
      <c r="W94" s="251"/>
      <c r="X94" s="252"/>
      <c r="Y94" s="253"/>
      <c r="AB94" s="309" t="str">
        <f>IF(AJ91&gt;=70,"70mq o superiore: +0%",IF(AJ91&lt;46,"Inferiore a 46mq: +20%)","Tra 46 e 70mq: +10%"))</f>
        <v>Inferiore a 46mq: +20%)</v>
      </c>
      <c r="AC94" s="309"/>
      <c r="AD94" s="309"/>
      <c r="AE94" s="309"/>
      <c r="AF94" s="309"/>
      <c r="AG94" s="309"/>
      <c r="AH94" s="309"/>
      <c r="AI94" s="309"/>
      <c r="AJ94" s="309"/>
      <c r="AK94" s="309"/>
      <c r="AL94" s="309"/>
      <c r="AM94" s="309"/>
      <c r="AN94" s="309"/>
      <c r="AO94" s="309"/>
      <c r="AP94" s="309"/>
      <c r="AQ94" s="309"/>
      <c r="BI94" s="193"/>
      <c r="BJ94" s="194"/>
      <c r="BK94" s="194"/>
      <c r="BL94" s="194"/>
      <c r="BM94" s="194"/>
      <c r="BN94" s="164"/>
    </row>
    <row r="95" spans="1:74" ht="9.75" hidden="1" customHeight="1" x14ac:dyDescent="0.2">
      <c r="R95" s="83" t="s">
        <v>32</v>
      </c>
      <c r="T95" s="334" t="str">
        <f>IF(T19="X","X","")</f>
        <v/>
      </c>
      <c r="U95" s="334"/>
      <c r="W95" s="228"/>
      <c r="X95" s="229"/>
      <c r="Y95" s="230"/>
      <c r="BH95" s="195" t="s">
        <v>161</v>
      </c>
      <c r="BI95" s="98" t="s">
        <v>7</v>
      </c>
      <c r="BJ95" s="196" t="s">
        <v>111</v>
      </c>
      <c r="BK95" s="197">
        <f>$BI$92</f>
        <v>0</v>
      </c>
      <c r="BL95" s="197">
        <v>140</v>
      </c>
      <c r="BM95" s="197">
        <f>BK95*BL95/100</f>
        <v>0</v>
      </c>
      <c r="BN95" s="198">
        <v>53.3</v>
      </c>
      <c r="BO95" s="199">
        <f>IF(BM95&gt;BN95,BN95,BM95)</f>
        <v>0</v>
      </c>
      <c r="BP95" s="91">
        <f>IF($BI$92&lt;=40.99,1,0)</f>
        <v>1</v>
      </c>
      <c r="BQ95" s="92">
        <f>IF($BI$89=BI95,1,0)</f>
        <v>1</v>
      </c>
      <c r="BR95" s="200">
        <f>BO95*BP95*BQ95</f>
        <v>0</v>
      </c>
      <c r="BS95" s="194" t="str">
        <f>IF(SUM(BP95:BQ95)=2,BJ95,"")</f>
        <v>Metratura fino a 40,99mq</v>
      </c>
      <c r="BT95" s="164" t="str">
        <f>IF(SUM(BP95:BQ95)=2,BH95,"")</f>
        <v>Aumento 40%</v>
      </c>
      <c r="BU95" s="201" t="str">
        <f>CONCATENATE(BS95,BS96,BS97,BS98,BS99,BS100,BS101,BS102)</f>
        <v>Metratura fino a 40,99mq</v>
      </c>
      <c r="BV95" s="202" t="str">
        <f>CONCATENATE(BT95,BT96,BT97,BT98,BT99,BT100,BT101,BT102)</f>
        <v>Aumento 40%</v>
      </c>
    </row>
    <row r="96" spans="1:74" ht="9.75" hidden="1" customHeight="1" x14ac:dyDescent="0.2">
      <c r="AB96" s="223" t="s">
        <v>35</v>
      </c>
      <c r="AC96" s="223"/>
      <c r="AD96" s="223"/>
      <c r="AE96" s="223"/>
      <c r="AF96" s="223"/>
      <c r="AG96" s="223"/>
      <c r="AH96" s="223"/>
      <c r="AJ96" s="310">
        <f>AJ22</f>
        <v>0</v>
      </c>
      <c r="AK96" s="311"/>
      <c r="AL96" s="311"/>
      <c r="AM96" s="311"/>
      <c r="AN96" s="311"/>
      <c r="AO96" s="311"/>
      <c r="AP96" s="311"/>
      <c r="AQ96" s="312"/>
      <c r="BH96" s="203" t="s">
        <v>162</v>
      </c>
      <c r="BI96" s="98" t="s">
        <v>7</v>
      </c>
      <c r="BJ96" s="196" t="s">
        <v>112</v>
      </c>
      <c r="BK96" s="197">
        <f t="shared" ref="BK96:BK126" si="19">$BI$92</f>
        <v>0</v>
      </c>
      <c r="BL96" s="197">
        <v>130</v>
      </c>
      <c r="BM96" s="197">
        <f t="shared" ref="BM96:BM126" si="20">BK96*BL96/100</f>
        <v>0</v>
      </c>
      <c r="BN96" s="198">
        <v>61.2</v>
      </c>
      <c r="BO96" s="204">
        <f t="shared" ref="BO96:BO99" si="21">IF(BM96&gt;BN96,BN96,BM96)</f>
        <v>0</v>
      </c>
      <c r="BP96" s="120">
        <f>IF(AND($BI$92&gt;=41,$BI$92&lt;=50.99),1,0)</f>
        <v>0</v>
      </c>
      <c r="BQ96" s="121">
        <f t="shared" ref="BQ96:BQ126" si="22">IF($BI$89=BI96,1,0)</f>
        <v>1</v>
      </c>
      <c r="BR96" s="205">
        <f t="shared" ref="BR96:BR126" si="23">BO96*BP96*BQ96</f>
        <v>0</v>
      </c>
      <c r="BS96" s="99" t="str">
        <f t="shared" ref="BS96:BS126" si="24">IF(SUM(BP96:BQ96)=2,BJ96,"")</f>
        <v/>
      </c>
      <c r="BT96" s="100" t="str">
        <f t="shared" ref="BT96:BT126" si="25">IF(SUM(BP96:BQ96)=2,BH96,"")</f>
        <v/>
      </c>
      <c r="BU96" s="206"/>
      <c r="BV96" s="206"/>
    </row>
    <row r="97" spans="18:74" ht="9.75" hidden="1" customHeight="1" x14ac:dyDescent="0.2">
      <c r="R97" s="26" t="s">
        <v>33</v>
      </c>
      <c r="AB97" s="223"/>
      <c r="AC97" s="223"/>
      <c r="AD97" s="223"/>
      <c r="AE97" s="223"/>
      <c r="AF97" s="223"/>
      <c r="AG97" s="223"/>
      <c r="AH97" s="223"/>
      <c r="AJ97" s="313"/>
      <c r="AK97" s="314"/>
      <c r="AL97" s="314"/>
      <c r="AM97" s="314"/>
      <c r="AN97" s="314"/>
      <c r="AO97" s="314"/>
      <c r="AP97" s="314"/>
      <c r="AQ97" s="315"/>
      <c r="BH97" s="203" t="s">
        <v>163</v>
      </c>
      <c r="BI97" s="98" t="s">
        <v>7</v>
      </c>
      <c r="BJ97" s="196" t="s">
        <v>113</v>
      </c>
      <c r="BK97" s="197">
        <f t="shared" si="19"/>
        <v>0</v>
      </c>
      <c r="BL97" s="197">
        <v>120</v>
      </c>
      <c r="BM97" s="197">
        <f t="shared" si="20"/>
        <v>0</v>
      </c>
      <c r="BN97" s="198">
        <v>67.099999999999994</v>
      </c>
      <c r="BO97" s="204">
        <f t="shared" si="21"/>
        <v>0</v>
      </c>
      <c r="BP97" s="120">
        <f>IF(AND($BI$92&gt;=51,$BI$92&lt;=60.99),1,0)</f>
        <v>0</v>
      </c>
      <c r="BQ97" s="121">
        <f t="shared" si="22"/>
        <v>1</v>
      </c>
      <c r="BR97" s="205">
        <f t="shared" si="23"/>
        <v>0</v>
      </c>
      <c r="BS97" s="99" t="str">
        <f t="shared" si="24"/>
        <v/>
      </c>
      <c r="BT97" s="100" t="str">
        <f t="shared" si="25"/>
        <v/>
      </c>
      <c r="BU97" s="206"/>
      <c r="BV97" s="206"/>
    </row>
    <row r="98" spans="18:74" ht="9.75" hidden="1" customHeight="1" x14ac:dyDescent="0.2">
      <c r="R98" s="83" t="s">
        <v>34</v>
      </c>
      <c r="T98" s="334" t="str">
        <f>IF(T22="X","X","")</f>
        <v/>
      </c>
      <c r="U98" s="334"/>
      <c r="BH98" s="203" t="s">
        <v>164</v>
      </c>
      <c r="BI98" s="98" t="s">
        <v>7</v>
      </c>
      <c r="BJ98" s="196" t="s">
        <v>114</v>
      </c>
      <c r="BK98" s="197">
        <f t="shared" si="19"/>
        <v>0</v>
      </c>
      <c r="BL98" s="197">
        <v>110</v>
      </c>
      <c r="BM98" s="197">
        <f t="shared" si="20"/>
        <v>0</v>
      </c>
      <c r="BN98" s="198">
        <v>74.55</v>
      </c>
      <c r="BO98" s="204">
        <f t="shared" si="21"/>
        <v>0</v>
      </c>
      <c r="BP98" s="120">
        <f>IF(AND($BI$92&gt;=61,$BI$92&lt;=70.99),1,0)</f>
        <v>0</v>
      </c>
      <c r="BQ98" s="121">
        <f t="shared" si="22"/>
        <v>1</v>
      </c>
      <c r="BR98" s="205">
        <f t="shared" si="23"/>
        <v>0</v>
      </c>
      <c r="BS98" s="99" t="str">
        <f t="shared" si="24"/>
        <v/>
      </c>
      <c r="BT98" s="100" t="str">
        <f t="shared" si="25"/>
        <v/>
      </c>
      <c r="BU98" s="206"/>
      <c r="BV98" s="206"/>
    </row>
    <row r="99" spans="18:74" ht="9.75" hidden="1" customHeight="1" x14ac:dyDescent="0.2">
      <c r="R99" s="83" t="s">
        <v>36</v>
      </c>
      <c r="T99" s="334" t="str">
        <f t="shared" ref="T99:T102" si="26">IF(T23="X","X","")</f>
        <v/>
      </c>
      <c r="U99" s="334"/>
      <c r="W99" s="225" t="str">
        <f>W23</f>
        <v/>
      </c>
      <c r="X99" s="226"/>
      <c r="Y99" s="227"/>
      <c r="AB99" s="223" t="s">
        <v>39</v>
      </c>
      <c r="AC99" s="223"/>
      <c r="AD99" s="223"/>
      <c r="AE99" s="223"/>
      <c r="AF99" s="223"/>
      <c r="AG99" s="223"/>
      <c r="AH99" s="223"/>
      <c r="AJ99" s="231">
        <f>AJ25</f>
        <v>0</v>
      </c>
      <c r="AK99" s="232"/>
      <c r="AL99" s="233"/>
      <c r="AM99" s="237" t="s">
        <v>40</v>
      </c>
      <c r="AN99" s="238"/>
      <c r="AO99" s="239">
        <f>AO25</f>
        <v>0</v>
      </c>
      <c r="AP99" s="240"/>
      <c r="AQ99" s="241"/>
      <c r="BH99" s="203" t="s">
        <v>165</v>
      </c>
      <c r="BI99" s="98" t="s">
        <v>7</v>
      </c>
      <c r="BJ99" s="196" t="s">
        <v>115</v>
      </c>
      <c r="BK99" s="197">
        <f t="shared" si="19"/>
        <v>0</v>
      </c>
      <c r="BL99" s="197">
        <v>105</v>
      </c>
      <c r="BM99" s="197">
        <f t="shared" si="20"/>
        <v>0</v>
      </c>
      <c r="BN99" s="198">
        <v>81</v>
      </c>
      <c r="BO99" s="204">
        <f t="shared" si="21"/>
        <v>0</v>
      </c>
      <c r="BP99" s="207">
        <f>IF(AND($BI$92&gt;=71,$BI$92&lt;=80.99),1,0)</f>
        <v>0</v>
      </c>
      <c r="BQ99" s="121">
        <f t="shared" si="22"/>
        <v>1</v>
      </c>
      <c r="BR99" s="205">
        <f t="shared" si="23"/>
        <v>0</v>
      </c>
      <c r="BS99" s="99" t="str">
        <f t="shared" si="24"/>
        <v/>
      </c>
      <c r="BT99" s="100" t="str">
        <f t="shared" si="25"/>
        <v/>
      </c>
      <c r="BU99" s="206"/>
      <c r="BV99" s="206"/>
    </row>
    <row r="100" spans="18:74" ht="9.75" hidden="1" customHeight="1" x14ac:dyDescent="0.2">
      <c r="R100" s="83" t="s">
        <v>37</v>
      </c>
      <c r="T100" s="334" t="str">
        <f t="shared" si="26"/>
        <v/>
      </c>
      <c r="U100" s="334"/>
      <c r="W100" s="251"/>
      <c r="X100" s="252"/>
      <c r="Y100" s="253"/>
      <c r="AB100" s="223"/>
      <c r="AC100" s="223"/>
      <c r="AD100" s="223"/>
      <c r="AE100" s="223"/>
      <c r="AF100" s="223"/>
      <c r="AG100" s="223"/>
      <c r="AH100" s="223"/>
      <c r="AJ100" s="234"/>
      <c r="AK100" s="235"/>
      <c r="AL100" s="236"/>
      <c r="AM100" s="237"/>
      <c r="AN100" s="238"/>
      <c r="AO100" s="242"/>
      <c r="AP100" s="243"/>
      <c r="AQ100" s="244"/>
      <c r="BH100" s="203" t="s">
        <v>166</v>
      </c>
      <c r="BI100" s="98" t="s">
        <v>7</v>
      </c>
      <c r="BJ100" s="196" t="s">
        <v>116</v>
      </c>
      <c r="BK100" s="197">
        <f t="shared" si="19"/>
        <v>0</v>
      </c>
      <c r="BL100" s="197">
        <v>100</v>
      </c>
      <c r="BM100" s="197">
        <f t="shared" si="20"/>
        <v>0</v>
      </c>
      <c r="BN100" s="198">
        <v>0</v>
      </c>
      <c r="BO100" s="204">
        <f>+BM100</f>
        <v>0</v>
      </c>
      <c r="BP100" s="207">
        <f>IF(AND($BI$92&gt;=81,$BI$92&lt;=90.99),1,0)</f>
        <v>0</v>
      </c>
      <c r="BQ100" s="121">
        <f t="shared" si="22"/>
        <v>1</v>
      </c>
      <c r="BR100" s="205">
        <f t="shared" si="23"/>
        <v>0</v>
      </c>
      <c r="BS100" s="99" t="str">
        <f t="shared" si="24"/>
        <v/>
      </c>
      <c r="BT100" s="100" t="str">
        <f t="shared" si="25"/>
        <v/>
      </c>
      <c r="BU100" s="206"/>
      <c r="BV100" s="206"/>
    </row>
    <row r="101" spans="18:74" ht="9.75" hidden="1" customHeight="1" x14ac:dyDescent="0.2">
      <c r="R101" s="83" t="s">
        <v>38</v>
      </c>
      <c r="T101" s="334" t="str">
        <f t="shared" si="26"/>
        <v/>
      </c>
      <c r="U101" s="334"/>
      <c r="W101" s="228"/>
      <c r="X101" s="229"/>
      <c r="Y101" s="230"/>
      <c r="AJ101" s="30"/>
      <c r="AK101" s="30"/>
      <c r="AL101" s="30"/>
      <c r="AM101" s="30"/>
      <c r="AN101" s="30"/>
      <c r="AO101" s="30"/>
      <c r="AP101" s="30"/>
      <c r="AQ101" s="30"/>
      <c r="BH101" s="203" t="s">
        <v>167</v>
      </c>
      <c r="BI101" s="98" t="s">
        <v>7</v>
      </c>
      <c r="BJ101" s="196" t="s">
        <v>117</v>
      </c>
      <c r="BK101" s="197">
        <f t="shared" si="19"/>
        <v>0</v>
      </c>
      <c r="BL101" s="197">
        <v>95</v>
      </c>
      <c r="BM101" s="197">
        <f t="shared" si="20"/>
        <v>0</v>
      </c>
      <c r="BN101" s="198">
        <v>90.99</v>
      </c>
      <c r="BO101" s="204">
        <f>IF(BM101&lt;BN101,BN101,BM101)</f>
        <v>90.99</v>
      </c>
      <c r="BP101" s="120">
        <f>IF(AND($BI$92&gt;=91,$BI$92&lt;=120),1,0)</f>
        <v>0</v>
      </c>
      <c r="BQ101" s="121">
        <f t="shared" si="22"/>
        <v>1</v>
      </c>
      <c r="BR101" s="205">
        <f t="shared" si="23"/>
        <v>0</v>
      </c>
      <c r="BS101" s="99" t="str">
        <f t="shared" si="24"/>
        <v/>
      </c>
      <c r="BT101" s="100" t="str">
        <f t="shared" si="25"/>
        <v/>
      </c>
      <c r="BU101" s="206"/>
      <c r="BV101" s="206"/>
    </row>
    <row r="102" spans="18:74" ht="9.75" hidden="1" customHeight="1" x14ac:dyDescent="0.2">
      <c r="R102" s="83" t="s">
        <v>41</v>
      </c>
      <c r="T102" s="334" t="str">
        <f t="shared" si="26"/>
        <v/>
      </c>
      <c r="U102" s="334"/>
      <c r="AB102" s="223" t="s">
        <v>43</v>
      </c>
      <c r="AC102" s="223"/>
      <c r="AD102" s="223"/>
      <c r="AE102" s="223"/>
      <c r="AF102" s="223"/>
      <c r="AG102" s="223"/>
      <c r="AH102" s="223"/>
      <c r="AJ102" s="231">
        <f>AJ28</f>
        <v>0</v>
      </c>
      <c r="AK102" s="232"/>
      <c r="AL102" s="233"/>
      <c r="AM102" s="237" t="s">
        <v>44</v>
      </c>
      <c r="AN102" s="238"/>
      <c r="AO102" s="239">
        <f>AO28</f>
        <v>0</v>
      </c>
      <c r="AP102" s="240"/>
      <c r="AQ102" s="241"/>
      <c r="BH102" s="208" t="s">
        <v>168</v>
      </c>
      <c r="BI102" s="156" t="s">
        <v>7</v>
      </c>
      <c r="BJ102" s="209" t="s">
        <v>119</v>
      </c>
      <c r="BK102" s="210">
        <f t="shared" si="19"/>
        <v>0</v>
      </c>
      <c r="BL102" s="210">
        <v>90</v>
      </c>
      <c r="BM102" s="210">
        <f t="shared" si="20"/>
        <v>0</v>
      </c>
      <c r="BN102" s="211">
        <v>114</v>
      </c>
      <c r="BO102" s="212">
        <f>IF(BM102&lt;BN102,BN102,BM102)</f>
        <v>114</v>
      </c>
      <c r="BP102" s="124">
        <f>IF($BI$92&gt;=120.01,1,0)</f>
        <v>0</v>
      </c>
      <c r="BQ102" s="125">
        <f t="shared" si="22"/>
        <v>1</v>
      </c>
      <c r="BR102" s="213">
        <f t="shared" si="23"/>
        <v>0</v>
      </c>
      <c r="BS102" s="167" t="str">
        <f t="shared" si="24"/>
        <v/>
      </c>
      <c r="BT102" s="168" t="str">
        <f t="shared" si="25"/>
        <v/>
      </c>
      <c r="BU102" s="206"/>
      <c r="BV102" s="206"/>
    </row>
    <row r="103" spans="18:74" ht="9.75" hidden="1" customHeight="1" x14ac:dyDescent="0.2">
      <c r="AB103" s="223"/>
      <c r="AC103" s="223"/>
      <c r="AD103" s="223"/>
      <c r="AE103" s="223"/>
      <c r="AF103" s="223"/>
      <c r="AG103" s="223"/>
      <c r="AH103" s="223"/>
      <c r="AJ103" s="234"/>
      <c r="AK103" s="235"/>
      <c r="AL103" s="236"/>
      <c r="AM103" s="237"/>
      <c r="AN103" s="238"/>
      <c r="AO103" s="242"/>
      <c r="AP103" s="243"/>
      <c r="AQ103" s="244"/>
      <c r="BH103" s="195" t="s">
        <v>161</v>
      </c>
      <c r="BI103" s="193" t="s">
        <v>8</v>
      </c>
      <c r="BJ103" s="214" t="s">
        <v>111</v>
      </c>
      <c r="BK103" s="215">
        <f t="shared" si="19"/>
        <v>0</v>
      </c>
      <c r="BL103" s="215">
        <v>140</v>
      </c>
      <c r="BM103" s="215">
        <f t="shared" si="20"/>
        <v>0</v>
      </c>
      <c r="BN103" s="216">
        <v>53.3</v>
      </c>
      <c r="BO103" s="199">
        <f>IF(BM103&gt;BN103,BN103,BM103)</f>
        <v>0</v>
      </c>
      <c r="BP103" s="91">
        <f>IF($BI$92&lt;=40.99,1,0)</f>
        <v>1</v>
      </c>
      <c r="BQ103" s="92">
        <f t="shared" si="22"/>
        <v>0</v>
      </c>
      <c r="BR103" s="200">
        <f t="shared" si="23"/>
        <v>0</v>
      </c>
      <c r="BS103" s="194" t="str">
        <f t="shared" si="24"/>
        <v/>
      </c>
      <c r="BT103" s="164" t="str">
        <f t="shared" si="25"/>
        <v/>
      </c>
      <c r="BU103" s="201" t="str">
        <f>CONCATENATE(BS103,BS104,BS105,BS106,BS107,BS108)</f>
        <v/>
      </c>
      <c r="BV103" s="202" t="str">
        <f>CONCATENATE(BT103,BT104,BT105,BT106,BT107,BT108)</f>
        <v/>
      </c>
    </row>
    <row r="104" spans="18:74" ht="9.75" hidden="1" customHeight="1" x14ac:dyDescent="0.2">
      <c r="R104" s="26" t="s">
        <v>42</v>
      </c>
      <c r="AJ104" s="30"/>
      <c r="AK104" s="30"/>
      <c r="AL104" s="30"/>
      <c r="AM104" s="30"/>
      <c r="AN104" s="30"/>
      <c r="AO104" s="30"/>
      <c r="AP104" s="30"/>
      <c r="AQ104" s="30"/>
      <c r="BH104" s="203" t="s">
        <v>162</v>
      </c>
      <c r="BI104" s="98" t="s">
        <v>8</v>
      </c>
      <c r="BJ104" s="148" t="s">
        <v>112</v>
      </c>
      <c r="BK104" s="197">
        <f t="shared" si="19"/>
        <v>0</v>
      </c>
      <c r="BL104" s="197">
        <v>130</v>
      </c>
      <c r="BM104" s="197">
        <f t="shared" si="20"/>
        <v>0</v>
      </c>
      <c r="BN104" s="198">
        <v>61.2</v>
      </c>
      <c r="BO104" s="204">
        <f t="shared" ref="BO104:BO105" si="27">IF(BM104&gt;BN104,BN104,BM104)</f>
        <v>0</v>
      </c>
      <c r="BP104" s="120">
        <f>IF(AND($BI$92&gt;=41,$BI$92&lt;=50.99),1,0)</f>
        <v>0</v>
      </c>
      <c r="BQ104" s="121">
        <f t="shared" si="22"/>
        <v>0</v>
      </c>
      <c r="BR104" s="205">
        <f t="shared" si="23"/>
        <v>0</v>
      </c>
      <c r="BS104" s="99" t="str">
        <f t="shared" si="24"/>
        <v/>
      </c>
      <c r="BT104" s="100" t="str">
        <f t="shared" si="25"/>
        <v/>
      </c>
      <c r="BU104" s="206"/>
      <c r="BV104" s="206"/>
    </row>
    <row r="105" spans="18:74" ht="9.75" hidden="1" customHeight="1" x14ac:dyDescent="0.2">
      <c r="R105" s="83" t="s">
        <v>45</v>
      </c>
      <c r="T105" s="334" t="str">
        <f t="shared" ref="T105:T111" si="28">IF(T29="X","X","")</f>
        <v/>
      </c>
      <c r="U105" s="334"/>
      <c r="AB105" s="223" t="s">
        <v>48</v>
      </c>
      <c r="AC105" s="223"/>
      <c r="AD105" s="223"/>
      <c r="AE105" s="223"/>
      <c r="AF105" s="223"/>
      <c r="AG105" s="223"/>
      <c r="AH105" s="223"/>
      <c r="AJ105" s="231">
        <f>AJ31</f>
        <v>0</v>
      </c>
      <c r="AK105" s="232"/>
      <c r="AL105" s="233"/>
      <c r="AM105" s="237" t="s">
        <v>49</v>
      </c>
      <c r="AN105" s="238"/>
      <c r="AO105" s="239">
        <f>AO31</f>
        <v>0</v>
      </c>
      <c r="AP105" s="240"/>
      <c r="AQ105" s="241"/>
      <c r="BH105" s="203" t="s">
        <v>163</v>
      </c>
      <c r="BI105" s="98" t="s">
        <v>8</v>
      </c>
      <c r="BJ105" s="148" t="s">
        <v>113</v>
      </c>
      <c r="BK105" s="197">
        <f t="shared" si="19"/>
        <v>0</v>
      </c>
      <c r="BL105" s="197">
        <v>120</v>
      </c>
      <c r="BM105" s="197">
        <f t="shared" si="20"/>
        <v>0</v>
      </c>
      <c r="BN105" s="198">
        <v>61</v>
      </c>
      <c r="BO105" s="204">
        <f t="shared" si="27"/>
        <v>0</v>
      </c>
      <c r="BP105" s="120">
        <f>IF(AND($BI$92&gt;=51,$BI$92&lt;=60.99),1,0)</f>
        <v>0</v>
      </c>
      <c r="BQ105" s="121">
        <f t="shared" si="22"/>
        <v>0</v>
      </c>
      <c r="BR105" s="205">
        <f t="shared" si="23"/>
        <v>0</v>
      </c>
      <c r="BS105" s="99" t="str">
        <f t="shared" si="24"/>
        <v/>
      </c>
      <c r="BT105" s="100" t="str">
        <f t="shared" si="25"/>
        <v/>
      </c>
      <c r="BU105" s="206"/>
      <c r="BV105" s="206"/>
    </row>
    <row r="106" spans="18:74" ht="9.75" hidden="1" customHeight="1" x14ac:dyDescent="0.2">
      <c r="R106" s="83" t="s">
        <v>46</v>
      </c>
      <c r="T106" s="334" t="str">
        <f t="shared" si="28"/>
        <v/>
      </c>
      <c r="U106" s="334"/>
      <c r="AB106" s="223"/>
      <c r="AC106" s="223"/>
      <c r="AD106" s="223"/>
      <c r="AE106" s="223"/>
      <c r="AF106" s="223"/>
      <c r="AG106" s="223"/>
      <c r="AH106" s="223"/>
      <c r="AJ106" s="234"/>
      <c r="AK106" s="235"/>
      <c r="AL106" s="236"/>
      <c r="AM106" s="237"/>
      <c r="AN106" s="238"/>
      <c r="AO106" s="242"/>
      <c r="AP106" s="243"/>
      <c r="AQ106" s="244"/>
      <c r="BH106" s="203" t="s">
        <v>166</v>
      </c>
      <c r="BI106" s="98" t="s">
        <v>8</v>
      </c>
      <c r="BJ106" s="148" t="s">
        <v>169</v>
      </c>
      <c r="BK106" s="197">
        <f t="shared" si="19"/>
        <v>0</v>
      </c>
      <c r="BL106" s="197">
        <v>100</v>
      </c>
      <c r="BM106" s="197">
        <f t="shared" si="20"/>
        <v>0</v>
      </c>
      <c r="BN106" s="198">
        <v>0</v>
      </c>
      <c r="BO106" s="204">
        <f>+BM106</f>
        <v>0</v>
      </c>
      <c r="BP106" s="217">
        <f>IF(AND($BI$92&gt;=61,$BI$92&lt;=90.99),1,0)</f>
        <v>0</v>
      </c>
      <c r="BQ106" s="121">
        <f t="shared" si="22"/>
        <v>0</v>
      </c>
      <c r="BR106" s="205">
        <f t="shared" si="23"/>
        <v>0</v>
      </c>
      <c r="BS106" s="99" t="str">
        <f t="shared" si="24"/>
        <v/>
      </c>
      <c r="BT106" s="100" t="str">
        <f t="shared" si="25"/>
        <v/>
      </c>
      <c r="BU106" s="206"/>
      <c r="BV106" s="206"/>
    </row>
    <row r="107" spans="18:74" ht="9.75" hidden="1" customHeight="1" x14ac:dyDescent="0.2">
      <c r="R107" s="83" t="s">
        <v>47</v>
      </c>
      <c r="T107" s="334" t="str">
        <f t="shared" si="28"/>
        <v/>
      </c>
      <c r="U107" s="334"/>
      <c r="W107" s="225" t="str">
        <f>W31</f>
        <v>B</v>
      </c>
      <c r="X107" s="226"/>
      <c r="Y107" s="227"/>
      <c r="AJ107" s="30"/>
      <c r="AK107" s="30"/>
      <c r="AL107" s="30"/>
      <c r="AM107" s="30"/>
      <c r="AN107" s="30"/>
      <c r="AO107" s="30"/>
      <c r="AP107" s="30"/>
      <c r="AQ107" s="30"/>
      <c r="BH107" s="203" t="s">
        <v>167</v>
      </c>
      <c r="BI107" s="98" t="s">
        <v>8</v>
      </c>
      <c r="BJ107" s="148" t="s">
        <v>117</v>
      </c>
      <c r="BK107" s="197">
        <f t="shared" si="19"/>
        <v>0</v>
      </c>
      <c r="BL107" s="197">
        <v>95</v>
      </c>
      <c r="BM107" s="197">
        <f t="shared" si="20"/>
        <v>0</v>
      </c>
      <c r="BN107" s="198">
        <v>90.99</v>
      </c>
      <c r="BO107" s="204">
        <f>IF(BM107&lt;BN107,BN107,BM107)</f>
        <v>90.99</v>
      </c>
      <c r="BP107" s="120">
        <f>IF(AND($BI$92&gt;=91,$BI$92&lt;=120),1,0)</f>
        <v>0</v>
      </c>
      <c r="BQ107" s="121">
        <f t="shared" si="22"/>
        <v>0</v>
      </c>
      <c r="BR107" s="205">
        <f t="shared" si="23"/>
        <v>0</v>
      </c>
      <c r="BS107" s="99" t="str">
        <f t="shared" si="24"/>
        <v/>
      </c>
      <c r="BT107" s="100" t="str">
        <f t="shared" si="25"/>
        <v/>
      </c>
      <c r="BU107" s="206"/>
      <c r="BV107" s="206"/>
    </row>
    <row r="108" spans="18:74" ht="9.75" hidden="1" customHeight="1" x14ac:dyDescent="0.2">
      <c r="R108" s="83" t="s">
        <v>50</v>
      </c>
      <c r="T108" s="334" t="str">
        <f t="shared" si="28"/>
        <v/>
      </c>
      <c r="U108" s="334"/>
      <c r="W108" s="251"/>
      <c r="X108" s="252"/>
      <c r="Y108" s="253"/>
      <c r="AB108" s="223" t="s">
        <v>53</v>
      </c>
      <c r="AC108" s="223"/>
      <c r="AD108" s="223"/>
      <c r="AE108" s="223"/>
      <c r="AF108" s="223"/>
      <c r="AG108" s="223"/>
      <c r="AH108" s="223"/>
      <c r="AJ108" s="231">
        <f>AJ34</f>
        <v>0</v>
      </c>
      <c r="AK108" s="232"/>
      <c r="AL108" s="233"/>
      <c r="AM108" s="237" t="s">
        <v>54</v>
      </c>
      <c r="AN108" s="238"/>
      <c r="AO108" s="239">
        <f>AO34</f>
        <v>0</v>
      </c>
      <c r="AP108" s="240"/>
      <c r="AQ108" s="241"/>
      <c r="BH108" s="208" t="s">
        <v>168</v>
      </c>
      <c r="BI108" s="156" t="s">
        <v>8</v>
      </c>
      <c r="BJ108" s="218" t="s">
        <v>119</v>
      </c>
      <c r="BK108" s="210">
        <f t="shared" si="19"/>
        <v>0</v>
      </c>
      <c r="BL108" s="210">
        <v>90</v>
      </c>
      <c r="BM108" s="210">
        <f t="shared" si="20"/>
        <v>0</v>
      </c>
      <c r="BN108" s="211">
        <v>114</v>
      </c>
      <c r="BO108" s="212">
        <f>IF(BM108&lt;BN108,BN108,BM108)</f>
        <v>114</v>
      </c>
      <c r="BP108" s="124">
        <f>IF($BI$92&gt;=120.01,1,0)</f>
        <v>0</v>
      </c>
      <c r="BQ108" s="125">
        <f t="shared" si="22"/>
        <v>0</v>
      </c>
      <c r="BR108" s="213">
        <f t="shared" si="23"/>
        <v>0</v>
      </c>
      <c r="BS108" s="167" t="str">
        <f t="shared" si="24"/>
        <v/>
      </c>
      <c r="BT108" s="168" t="str">
        <f t="shared" si="25"/>
        <v/>
      </c>
      <c r="BU108" s="206"/>
      <c r="BV108" s="206"/>
    </row>
    <row r="109" spans="18:74" ht="9.75" hidden="1" customHeight="1" x14ac:dyDescent="0.2">
      <c r="R109" s="83" t="s">
        <v>51</v>
      </c>
      <c r="T109" s="334" t="str">
        <f t="shared" si="28"/>
        <v/>
      </c>
      <c r="U109" s="334"/>
      <c r="W109" s="228"/>
      <c r="X109" s="229"/>
      <c r="Y109" s="230"/>
      <c r="AB109" s="223"/>
      <c r="AC109" s="223"/>
      <c r="AD109" s="223"/>
      <c r="AE109" s="223"/>
      <c r="AF109" s="223"/>
      <c r="AG109" s="223"/>
      <c r="AH109" s="223"/>
      <c r="AJ109" s="234"/>
      <c r="AK109" s="235"/>
      <c r="AL109" s="236"/>
      <c r="AM109" s="237"/>
      <c r="AN109" s="238"/>
      <c r="AO109" s="242"/>
      <c r="AP109" s="243"/>
      <c r="AQ109" s="244"/>
      <c r="BH109" s="195" t="s">
        <v>161</v>
      </c>
      <c r="BI109" s="193" t="s">
        <v>11</v>
      </c>
      <c r="BJ109" s="214" t="s">
        <v>111</v>
      </c>
      <c r="BK109" s="215">
        <f t="shared" si="19"/>
        <v>0</v>
      </c>
      <c r="BL109" s="215">
        <v>140</v>
      </c>
      <c r="BM109" s="215">
        <f t="shared" si="20"/>
        <v>0</v>
      </c>
      <c r="BN109" s="216">
        <v>53.3</v>
      </c>
      <c r="BO109" s="199">
        <f>IF(BM109&gt;BN109,BN109,BM109)</f>
        <v>0</v>
      </c>
      <c r="BP109" s="91">
        <f>IF($BI$92&lt;=40.99,1,0)</f>
        <v>1</v>
      </c>
      <c r="BQ109" s="92">
        <f t="shared" si="22"/>
        <v>0</v>
      </c>
      <c r="BR109" s="200">
        <f t="shared" si="23"/>
        <v>0</v>
      </c>
      <c r="BS109" s="194" t="str">
        <f t="shared" si="24"/>
        <v/>
      </c>
      <c r="BT109" s="164" t="str">
        <f t="shared" si="25"/>
        <v/>
      </c>
      <c r="BU109" s="201" t="str">
        <f>CONCATENATE(BS109,BS110,BS111,BS112,BS113,BS114)</f>
        <v/>
      </c>
      <c r="BV109" s="202" t="str">
        <f>CONCATENATE(BT109,BT110,BT111,BT112,BT113,BT114)</f>
        <v/>
      </c>
    </row>
    <row r="110" spans="18:74" ht="9.75" hidden="1" customHeight="1" x14ac:dyDescent="0.2">
      <c r="R110" s="83" t="s">
        <v>52</v>
      </c>
      <c r="T110" s="334" t="str">
        <f t="shared" si="28"/>
        <v/>
      </c>
      <c r="U110" s="334"/>
      <c r="AJ110" s="30"/>
      <c r="AK110" s="30"/>
      <c r="AL110" s="30"/>
      <c r="AM110" s="30"/>
      <c r="AN110" s="30"/>
      <c r="AO110" s="30"/>
      <c r="AP110" s="30"/>
      <c r="AQ110" s="30"/>
      <c r="BH110" s="203" t="s">
        <v>162</v>
      </c>
      <c r="BI110" s="98" t="s">
        <v>11</v>
      </c>
      <c r="BJ110" s="148" t="s">
        <v>112</v>
      </c>
      <c r="BK110" s="197">
        <f t="shared" si="19"/>
        <v>0</v>
      </c>
      <c r="BL110" s="197">
        <v>130</v>
      </c>
      <c r="BM110" s="197">
        <f t="shared" si="20"/>
        <v>0</v>
      </c>
      <c r="BN110" s="198">
        <v>61.2</v>
      </c>
      <c r="BO110" s="204">
        <f t="shared" ref="BO110:BO111" si="29">IF(BM110&gt;BN110,BN110,BM110)</f>
        <v>0</v>
      </c>
      <c r="BP110" s="120">
        <f>IF(AND($BI$92&gt;=41,$BI$92&lt;=50.99),1,0)</f>
        <v>0</v>
      </c>
      <c r="BQ110" s="121">
        <f t="shared" si="22"/>
        <v>0</v>
      </c>
      <c r="BR110" s="205">
        <f t="shared" si="23"/>
        <v>0</v>
      </c>
      <c r="BS110" s="99" t="str">
        <f t="shared" si="24"/>
        <v/>
      </c>
      <c r="BT110" s="100" t="str">
        <f t="shared" si="25"/>
        <v/>
      </c>
      <c r="BU110" s="206"/>
      <c r="BV110" s="206"/>
    </row>
    <row r="111" spans="18:74" ht="9.75" hidden="1" customHeight="1" x14ac:dyDescent="0.2">
      <c r="R111" s="83" t="s">
        <v>170</v>
      </c>
      <c r="T111" s="334" t="str">
        <f t="shared" si="28"/>
        <v/>
      </c>
      <c r="U111" s="334"/>
      <c r="AB111" s="223" t="s">
        <v>57</v>
      </c>
      <c r="AC111" s="223"/>
      <c r="AD111" s="223"/>
      <c r="AE111" s="223"/>
      <c r="AF111" s="223"/>
      <c r="AG111" s="223"/>
      <c r="AH111" s="223"/>
      <c r="AJ111" s="231">
        <f>AJ37</f>
        <v>0</v>
      </c>
      <c r="AK111" s="232"/>
      <c r="AL111" s="233"/>
      <c r="AM111" s="237" t="s">
        <v>58</v>
      </c>
      <c r="AN111" s="238"/>
      <c r="AO111" s="239">
        <f>AO37</f>
        <v>0</v>
      </c>
      <c r="AP111" s="240"/>
      <c r="AQ111" s="241"/>
      <c r="BH111" s="203" t="s">
        <v>163</v>
      </c>
      <c r="BI111" s="98" t="s">
        <v>11</v>
      </c>
      <c r="BJ111" s="148" t="s">
        <v>113</v>
      </c>
      <c r="BK111" s="197">
        <f t="shared" si="19"/>
        <v>0</v>
      </c>
      <c r="BL111" s="197">
        <v>120</v>
      </c>
      <c r="BM111" s="197">
        <f t="shared" si="20"/>
        <v>0</v>
      </c>
      <c r="BN111" s="198">
        <v>61</v>
      </c>
      <c r="BO111" s="204">
        <f t="shared" si="29"/>
        <v>0</v>
      </c>
      <c r="BP111" s="120">
        <f>IF(AND($BI$92&gt;=51,$BI$92&lt;=60.99),1,0)</f>
        <v>0</v>
      </c>
      <c r="BQ111" s="121">
        <f t="shared" si="22"/>
        <v>0</v>
      </c>
      <c r="BR111" s="205">
        <f t="shared" si="23"/>
        <v>0</v>
      </c>
      <c r="BS111" s="99" t="str">
        <f t="shared" si="24"/>
        <v/>
      </c>
      <c r="BT111" s="100" t="str">
        <f t="shared" si="25"/>
        <v/>
      </c>
      <c r="BU111" s="206"/>
      <c r="BV111" s="206"/>
    </row>
    <row r="112" spans="18:74" ht="9.75" hidden="1" customHeight="1" x14ac:dyDescent="0.2">
      <c r="AB112" s="223"/>
      <c r="AC112" s="223"/>
      <c r="AD112" s="223"/>
      <c r="AE112" s="223"/>
      <c r="AF112" s="223"/>
      <c r="AG112" s="223"/>
      <c r="AH112" s="223"/>
      <c r="AJ112" s="234"/>
      <c r="AK112" s="235"/>
      <c r="AL112" s="236"/>
      <c r="AM112" s="237"/>
      <c r="AN112" s="238"/>
      <c r="AO112" s="242"/>
      <c r="AP112" s="243"/>
      <c r="AQ112" s="244"/>
      <c r="BH112" s="203" t="s">
        <v>166</v>
      </c>
      <c r="BI112" s="98" t="s">
        <v>11</v>
      </c>
      <c r="BJ112" s="148" t="s">
        <v>169</v>
      </c>
      <c r="BK112" s="197">
        <f t="shared" si="19"/>
        <v>0</v>
      </c>
      <c r="BL112" s="197">
        <v>100</v>
      </c>
      <c r="BM112" s="197">
        <f t="shared" si="20"/>
        <v>0</v>
      </c>
      <c r="BN112" s="198">
        <v>0</v>
      </c>
      <c r="BO112" s="204">
        <f>+BM112</f>
        <v>0</v>
      </c>
      <c r="BP112" s="217">
        <f>IF(AND($BI$92&gt;=61,$BI$92&lt;=90.99),1,0)</f>
        <v>0</v>
      </c>
      <c r="BQ112" s="121">
        <f t="shared" si="22"/>
        <v>0</v>
      </c>
      <c r="BR112" s="205">
        <f t="shared" si="23"/>
        <v>0</v>
      </c>
      <c r="BS112" s="99" t="str">
        <f t="shared" si="24"/>
        <v/>
      </c>
      <c r="BT112" s="100" t="str">
        <f t="shared" si="25"/>
        <v/>
      </c>
      <c r="BU112" s="206"/>
      <c r="BV112" s="206"/>
    </row>
    <row r="113" spans="2:74" ht="9.75" hidden="1" customHeight="1" x14ac:dyDescent="0.2">
      <c r="R113" s="26" t="s">
        <v>56</v>
      </c>
      <c r="BH113" s="203" t="s">
        <v>167</v>
      </c>
      <c r="BI113" s="98" t="s">
        <v>11</v>
      </c>
      <c r="BJ113" s="148" t="s">
        <v>117</v>
      </c>
      <c r="BK113" s="197">
        <f t="shared" si="19"/>
        <v>0</v>
      </c>
      <c r="BL113" s="197">
        <v>95</v>
      </c>
      <c r="BM113" s="197">
        <f t="shared" si="20"/>
        <v>0</v>
      </c>
      <c r="BN113" s="198">
        <v>90.99</v>
      </c>
      <c r="BO113" s="204">
        <f>IF(BM113&lt;BN113,BN113,BM113)</f>
        <v>90.99</v>
      </c>
      <c r="BP113" s="120">
        <f>IF(AND($BI$92&gt;=91,$BI$92&lt;=120),1,0)</f>
        <v>0</v>
      </c>
      <c r="BQ113" s="121">
        <f t="shared" si="22"/>
        <v>0</v>
      </c>
      <c r="BR113" s="205">
        <f t="shared" si="23"/>
        <v>0</v>
      </c>
      <c r="BS113" s="99" t="str">
        <f t="shared" si="24"/>
        <v/>
      </c>
      <c r="BT113" s="100" t="str">
        <f t="shared" si="25"/>
        <v/>
      </c>
      <c r="BU113" s="206"/>
      <c r="BV113" s="206"/>
    </row>
    <row r="114" spans="2:74" ht="9.75" hidden="1" customHeight="1" x14ac:dyDescent="0.2">
      <c r="R114" s="83" t="s">
        <v>56</v>
      </c>
      <c r="T114" s="334" t="str">
        <f t="shared" ref="T114:T115" si="30">IF(T38="X","X","")</f>
        <v/>
      </c>
      <c r="U114" s="334"/>
      <c r="W114" s="225" t="str">
        <f>W38</f>
        <v/>
      </c>
      <c r="X114" s="226"/>
      <c r="Y114" s="227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BH114" s="208" t="s">
        <v>168</v>
      </c>
      <c r="BI114" s="156" t="s">
        <v>11</v>
      </c>
      <c r="BJ114" s="218" t="s">
        <v>119</v>
      </c>
      <c r="BK114" s="210">
        <f t="shared" si="19"/>
        <v>0</v>
      </c>
      <c r="BL114" s="210">
        <v>90</v>
      </c>
      <c r="BM114" s="210">
        <f t="shared" si="20"/>
        <v>0</v>
      </c>
      <c r="BN114" s="211">
        <v>114</v>
      </c>
      <c r="BO114" s="212">
        <f>IF(BM114&lt;BN114,BN114,BM114)</f>
        <v>114</v>
      </c>
      <c r="BP114" s="124">
        <f>IF($BI$92&gt;=120.01,1,0)</f>
        <v>0</v>
      </c>
      <c r="BQ114" s="125">
        <f t="shared" si="22"/>
        <v>0</v>
      </c>
      <c r="BR114" s="213">
        <f t="shared" si="23"/>
        <v>0</v>
      </c>
      <c r="BS114" s="167" t="str">
        <f t="shared" si="24"/>
        <v/>
      </c>
      <c r="BT114" s="168" t="str">
        <f t="shared" si="25"/>
        <v/>
      </c>
      <c r="BU114" s="206"/>
      <c r="BV114" s="206"/>
    </row>
    <row r="115" spans="2:74" ht="9.75" hidden="1" customHeight="1" x14ac:dyDescent="0.2">
      <c r="R115" s="83" t="s">
        <v>59</v>
      </c>
      <c r="T115" s="334" t="str">
        <f t="shared" si="30"/>
        <v/>
      </c>
      <c r="U115" s="334"/>
      <c r="W115" s="228"/>
      <c r="X115" s="229"/>
      <c r="Y115" s="230"/>
      <c r="BH115" s="195" t="s">
        <v>161</v>
      </c>
      <c r="BI115" s="193" t="s">
        <v>10</v>
      </c>
      <c r="BJ115" s="214" t="s">
        <v>111</v>
      </c>
      <c r="BK115" s="215">
        <f t="shared" si="19"/>
        <v>0</v>
      </c>
      <c r="BL115" s="215">
        <v>140</v>
      </c>
      <c r="BM115" s="215">
        <f t="shared" si="20"/>
        <v>0</v>
      </c>
      <c r="BN115" s="216">
        <v>53.3</v>
      </c>
      <c r="BO115" s="199">
        <f>IF(BM115&gt;BN115,BN115,BM115)</f>
        <v>0</v>
      </c>
      <c r="BP115" s="91">
        <f>IF($BI$92&lt;=40.99,1,0)</f>
        <v>1</v>
      </c>
      <c r="BQ115" s="92">
        <f t="shared" si="22"/>
        <v>0</v>
      </c>
      <c r="BR115" s="200">
        <f t="shared" si="23"/>
        <v>0</v>
      </c>
      <c r="BS115" s="194" t="str">
        <f t="shared" si="24"/>
        <v/>
      </c>
      <c r="BT115" s="164" t="str">
        <f t="shared" si="25"/>
        <v/>
      </c>
      <c r="BU115" s="201" t="str">
        <f>CONCATENATE(BS115,BS116,BS117,BS118,BS119,BS120)</f>
        <v/>
      </c>
      <c r="BV115" s="202" t="str">
        <f>CONCATENATE(BT115,BT116,BT117,BT118,BT119,BT120)</f>
        <v/>
      </c>
    </row>
    <row r="116" spans="2:74" ht="9.75" hidden="1" customHeight="1" x14ac:dyDescent="0.2">
      <c r="AB116" s="223" t="s">
        <v>62</v>
      </c>
      <c r="AC116" s="223"/>
      <c r="AD116" s="223"/>
      <c r="AE116" s="223"/>
      <c r="AF116" s="223"/>
      <c r="AG116" s="223"/>
      <c r="AH116" s="223"/>
      <c r="AJ116" s="245">
        <f>AJ42</f>
        <v>0</v>
      </c>
      <c r="AK116" s="246"/>
      <c r="AL116" s="246"/>
      <c r="AM116" s="246"/>
      <c r="AN116" s="246"/>
      <c r="AO116" s="246"/>
      <c r="AP116" s="246"/>
      <c r="AQ116" s="247"/>
      <c r="BH116" s="203" t="s">
        <v>162</v>
      </c>
      <c r="BI116" s="98" t="s">
        <v>10</v>
      </c>
      <c r="BJ116" s="148" t="s">
        <v>112</v>
      </c>
      <c r="BK116" s="197">
        <f t="shared" si="19"/>
        <v>0</v>
      </c>
      <c r="BL116" s="197">
        <v>130</v>
      </c>
      <c r="BM116" s="197">
        <f t="shared" si="20"/>
        <v>0</v>
      </c>
      <c r="BN116" s="198">
        <v>61.2</v>
      </c>
      <c r="BO116" s="204">
        <f t="shared" ref="BO116:BO117" si="31">IF(BM116&gt;BN116,BN116,BM116)</f>
        <v>0</v>
      </c>
      <c r="BP116" s="120">
        <f>IF(AND($BI$92&gt;=41,$BI$92&lt;=50.99),1,0)</f>
        <v>0</v>
      </c>
      <c r="BQ116" s="121">
        <f t="shared" si="22"/>
        <v>0</v>
      </c>
      <c r="BR116" s="205">
        <f t="shared" si="23"/>
        <v>0</v>
      </c>
      <c r="BS116" s="99" t="str">
        <f t="shared" si="24"/>
        <v/>
      </c>
      <c r="BT116" s="100" t="str">
        <f t="shared" si="25"/>
        <v/>
      </c>
      <c r="BU116" s="206"/>
      <c r="BV116" s="206"/>
    </row>
    <row r="117" spans="2:74" ht="9.75" hidden="1" customHeight="1" x14ac:dyDescent="0.2">
      <c r="R117" s="26" t="s">
        <v>60</v>
      </c>
      <c r="AB117" s="223"/>
      <c r="AC117" s="223"/>
      <c r="AD117" s="223"/>
      <c r="AE117" s="223"/>
      <c r="AF117" s="223"/>
      <c r="AG117" s="223"/>
      <c r="AH117" s="223"/>
      <c r="AJ117" s="248"/>
      <c r="AK117" s="249"/>
      <c r="AL117" s="249"/>
      <c r="AM117" s="249"/>
      <c r="AN117" s="249"/>
      <c r="AO117" s="249"/>
      <c r="AP117" s="249"/>
      <c r="AQ117" s="250"/>
      <c r="BH117" s="203" t="s">
        <v>163</v>
      </c>
      <c r="BI117" s="98" t="s">
        <v>10</v>
      </c>
      <c r="BJ117" s="148" t="s">
        <v>113</v>
      </c>
      <c r="BK117" s="197">
        <f t="shared" si="19"/>
        <v>0</v>
      </c>
      <c r="BL117" s="197">
        <v>120</v>
      </c>
      <c r="BM117" s="197">
        <f t="shared" si="20"/>
        <v>0</v>
      </c>
      <c r="BN117" s="198">
        <v>61</v>
      </c>
      <c r="BO117" s="204">
        <f t="shared" si="31"/>
        <v>0</v>
      </c>
      <c r="BP117" s="120">
        <f>IF(AND($BI$92&gt;=51,$BI$92&lt;=60.99),1,0)</f>
        <v>0</v>
      </c>
      <c r="BQ117" s="121">
        <f t="shared" si="22"/>
        <v>0</v>
      </c>
      <c r="BR117" s="205">
        <f t="shared" si="23"/>
        <v>0</v>
      </c>
      <c r="BS117" s="99" t="str">
        <f t="shared" si="24"/>
        <v/>
      </c>
      <c r="BT117" s="100" t="str">
        <f t="shared" si="25"/>
        <v/>
      </c>
      <c r="BU117" s="206"/>
      <c r="BV117" s="206"/>
    </row>
    <row r="118" spans="2:74" ht="9.75" hidden="1" customHeight="1" x14ac:dyDescent="0.2">
      <c r="R118" s="83" t="s">
        <v>61</v>
      </c>
      <c r="T118" s="334" t="str">
        <f t="shared" ref="T118:T124" si="32">IF(T42="X","X","")</f>
        <v/>
      </c>
      <c r="U118" s="334"/>
      <c r="AQ118" s="28" t="s">
        <v>65</v>
      </c>
      <c r="BH118" s="203" t="s">
        <v>166</v>
      </c>
      <c r="BI118" s="98" t="s">
        <v>10</v>
      </c>
      <c r="BJ118" s="148" t="s">
        <v>169</v>
      </c>
      <c r="BK118" s="197">
        <f t="shared" si="19"/>
        <v>0</v>
      </c>
      <c r="BL118" s="197">
        <v>100</v>
      </c>
      <c r="BM118" s="197">
        <f t="shared" si="20"/>
        <v>0</v>
      </c>
      <c r="BN118" s="198">
        <v>0</v>
      </c>
      <c r="BO118" s="204">
        <f>+BM118</f>
        <v>0</v>
      </c>
      <c r="BP118" s="217">
        <f>IF(AND($BI$92&gt;=61,$BI$92&lt;=90.99),1,0)</f>
        <v>0</v>
      </c>
      <c r="BQ118" s="121">
        <f t="shared" si="22"/>
        <v>0</v>
      </c>
      <c r="BR118" s="205">
        <f t="shared" si="23"/>
        <v>0</v>
      </c>
      <c r="BS118" s="99" t="str">
        <f t="shared" si="24"/>
        <v/>
      </c>
      <c r="BT118" s="100" t="str">
        <f t="shared" si="25"/>
        <v/>
      </c>
      <c r="BU118" s="206"/>
      <c r="BV118" s="206"/>
    </row>
    <row r="119" spans="2:74" ht="9.75" hidden="1" customHeight="1" x14ac:dyDescent="0.2">
      <c r="R119" s="83" t="s">
        <v>63</v>
      </c>
      <c r="T119" s="334" t="str">
        <f t="shared" si="32"/>
        <v/>
      </c>
      <c r="U119" s="334"/>
      <c r="AB119" s="254" t="str">
        <f>AB45</f>
        <v/>
      </c>
      <c r="AC119" s="254"/>
      <c r="AD119" s="254"/>
      <c r="AE119" s="254"/>
      <c r="AF119" s="254"/>
      <c r="AG119" s="254"/>
      <c r="AH119" s="254"/>
      <c r="AI119" s="254"/>
      <c r="AJ119" s="254"/>
      <c r="AK119" s="254"/>
      <c r="AL119" s="254"/>
      <c r="AM119" s="254"/>
      <c r="AN119" s="254"/>
      <c r="AO119" s="254"/>
      <c r="AP119" s="254"/>
      <c r="AQ119" s="254"/>
      <c r="BH119" s="203" t="s">
        <v>167</v>
      </c>
      <c r="BI119" s="98" t="s">
        <v>10</v>
      </c>
      <c r="BJ119" s="148" t="s">
        <v>117</v>
      </c>
      <c r="BK119" s="197">
        <f t="shared" si="19"/>
        <v>0</v>
      </c>
      <c r="BL119" s="197">
        <v>95</v>
      </c>
      <c r="BM119" s="197">
        <f t="shared" si="20"/>
        <v>0</v>
      </c>
      <c r="BN119" s="198">
        <v>90.99</v>
      </c>
      <c r="BO119" s="204">
        <f>IF(BM119&lt;BN119,BN119,BM119)</f>
        <v>90.99</v>
      </c>
      <c r="BP119" s="120">
        <f>IF(AND($BI$92&gt;=91,$BI$92&lt;=120),1,0)</f>
        <v>0</v>
      </c>
      <c r="BQ119" s="121">
        <f t="shared" si="22"/>
        <v>0</v>
      </c>
      <c r="BR119" s="205">
        <f t="shared" si="23"/>
        <v>0</v>
      </c>
      <c r="BS119" s="99" t="str">
        <f t="shared" si="24"/>
        <v/>
      </c>
      <c r="BT119" s="100" t="str">
        <f t="shared" si="25"/>
        <v/>
      </c>
      <c r="BU119" s="206"/>
      <c r="BV119" s="206"/>
    </row>
    <row r="120" spans="2:74" ht="9.75" hidden="1" customHeight="1" x14ac:dyDescent="0.2">
      <c r="R120" s="83" t="s">
        <v>64</v>
      </c>
      <c r="T120" s="334" t="str">
        <f t="shared" si="32"/>
        <v/>
      </c>
      <c r="U120" s="334"/>
      <c r="W120" s="225" t="str">
        <f>W44</f>
        <v>B</v>
      </c>
      <c r="X120" s="226"/>
      <c r="Y120" s="227"/>
      <c r="AB120" s="393" t="str">
        <f>AB46</f>
        <v/>
      </c>
      <c r="AC120" s="254"/>
      <c r="AD120" s="254"/>
      <c r="AE120" s="254"/>
      <c r="AF120" s="254"/>
      <c r="AG120" s="254"/>
      <c r="AH120" s="254"/>
      <c r="AI120" s="254"/>
      <c r="AJ120" s="254"/>
      <c r="AK120" s="254"/>
      <c r="AL120" s="254"/>
      <c r="AM120" s="254"/>
      <c r="AN120" s="254"/>
      <c r="AO120" s="254"/>
      <c r="AP120" s="254"/>
      <c r="AQ120" s="254"/>
      <c r="BH120" s="208" t="s">
        <v>168</v>
      </c>
      <c r="BI120" s="156" t="s">
        <v>10</v>
      </c>
      <c r="BJ120" s="218" t="s">
        <v>119</v>
      </c>
      <c r="BK120" s="210">
        <f t="shared" si="19"/>
        <v>0</v>
      </c>
      <c r="BL120" s="210">
        <v>90</v>
      </c>
      <c r="BM120" s="210">
        <f t="shared" si="20"/>
        <v>0</v>
      </c>
      <c r="BN120" s="211">
        <v>114</v>
      </c>
      <c r="BO120" s="212">
        <f>IF(BM120&lt;BN120,BN120,BM120)</f>
        <v>114</v>
      </c>
      <c r="BP120" s="124">
        <f>IF($BI$92&gt;=120.01,1,0)</f>
        <v>0</v>
      </c>
      <c r="BQ120" s="125">
        <f t="shared" si="22"/>
        <v>0</v>
      </c>
      <c r="BR120" s="213">
        <f t="shared" si="23"/>
        <v>0</v>
      </c>
      <c r="BS120" s="167" t="str">
        <f t="shared" si="24"/>
        <v/>
      </c>
      <c r="BT120" s="168" t="str">
        <f t="shared" si="25"/>
        <v/>
      </c>
      <c r="BU120" s="206"/>
      <c r="BV120" s="206"/>
    </row>
    <row r="121" spans="2:74" ht="9.75" hidden="1" customHeight="1" x14ac:dyDescent="0.2">
      <c r="R121" s="83" t="s">
        <v>66</v>
      </c>
      <c r="T121" s="334" t="str">
        <f t="shared" si="32"/>
        <v/>
      </c>
      <c r="U121" s="334"/>
      <c r="W121" s="251"/>
      <c r="X121" s="252"/>
      <c r="Y121" s="253"/>
      <c r="BH121" s="195" t="s">
        <v>161</v>
      </c>
      <c r="BI121" s="193" t="s">
        <v>9</v>
      </c>
      <c r="BJ121" s="214" t="s">
        <v>111</v>
      </c>
      <c r="BK121" s="215">
        <f t="shared" si="19"/>
        <v>0</v>
      </c>
      <c r="BL121" s="215">
        <v>140</v>
      </c>
      <c r="BM121" s="215">
        <f t="shared" si="20"/>
        <v>0</v>
      </c>
      <c r="BN121" s="216">
        <v>53.3</v>
      </c>
      <c r="BO121" s="199">
        <f>IF(BM121&gt;BN121,BN121,BM121)</f>
        <v>0</v>
      </c>
      <c r="BP121" s="91">
        <f>IF($BI$92&lt;=40.99,1,0)</f>
        <v>1</v>
      </c>
      <c r="BQ121" s="92">
        <f t="shared" si="22"/>
        <v>0</v>
      </c>
      <c r="BR121" s="200">
        <f t="shared" si="23"/>
        <v>0</v>
      </c>
      <c r="BS121" s="194" t="str">
        <f t="shared" si="24"/>
        <v/>
      </c>
      <c r="BT121" s="164" t="str">
        <f t="shared" si="25"/>
        <v/>
      </c>
      <c r="BU121" s="201" t="str">
        <f>CONCATENATE(BS121,BS122,BS123,BS124,BS125,BS126)</f>
        <v/>
      </c>
      <c r="BV121" s="202" t="str">
        <f>CONCATENATE(BT121,BT122,BT123,BT124,BT125,BT126)</f>
        <v/>
      </c>
    </row>
    <row r="122" spans="2:74" ht="9.75" hidden="1" customHeight="1" x14ac:dyDescent="0.2">
      <c r="R122" s="83" t="s">
        <v>67</v>
      </c>
      <c r="T122" s="334" t="str">
        <f t="shared" si="32"/>
        <v/>
      </c>
      <c r="U122" s="334"/>
      <c r="W122" s="228"/>
      <c r="X122" s="229"/>
      <c r="Y122" s="230"/>
      <c r="AB122" s="223" t="s">
        <v>70</v>
      </c>
      <c r="AC122" s="223"/>
      <c r="AD122" s="223"/>
      <c r="AE122" s="223"/>
      <c r="AF122" s="223"/>
      <c r="AG122" s="223"/>
      <c r="AH122" s="223"/>
      <c r="AJ122" s="310">
        <f>AJ48</f>
        <v>0</v>
      </c>
      <c r="AK122" s="329"/>
      <c r="AL122" s="329"/>
      <c r="AM122" s="329"/>
      <c r="AN122" s="329"/>
      <c r="AO122" s="329"/>
      <c r="AP122" s="329"/>
      <c r="AQ122" s="330"/>
      <c r="BH122" s="203" t="s">
        <v>162</v>
      </c>
      <c r="BI122" s="98" t="s">
        <v>9</v>
      </c>
      <c r="BJ122" s="148" t="s">
        <v>112</v>
      </c>
      <c r="BK122" s="197">
        <f t="shared" si="19"/>
        <v>0</v>
      </c>
      <c r="BL122" s="197">
        <v>130</v>
      </c>
      <c r="BM122" s="197">
        <f t="shared" si="20"/>
        <v>0</v>
      </c>
      <c r="BN122" s="198">
        <v>61.2</v>
      </c>
      <c r="BO122" s="204">
        <f t="shared" ref="BO122:BO123" si="33">IF(BM122&gt;BN122,BN122,BM122)</f>
        <v>0</v>
      </c>
      <c r="BP122" s="120">
        <f>IF(AND($BI$92&gt;=41,$BI$92&lt;=50.99),1,0)</f>
        <v>0</v>
      </c>
      <c r="BQ122" s="121">
        <f t="shared" si="22"/>
        <v>0</v>
      </c>
      <c r="BR122" s="205">
        <f t="shared" si="23"/>
        <v>0</v>
      </c>
      <c r="BS122" s="99" t="str">
        <f t="shared" si="24"/>
        <v/>
      </c>
      <c r="BT122" s="100" t="str">
        <f t="shared" si="25"/>
        <v/>
      </c>
      <c r="BU122" s="206"/>
      <c r="BV122" s="206"/>
    </row>
    <row r="123" spans="2:74" ht="9.75" hidden="1" customHeight="1" x14ac:dyDescent="0.2">
      <c r="R123" s="83" t="s">
        <v>227</v>
      </c>
      <c r="T123" s="334" t="str">
        <f t="shared" si="32"/>
        <v/>
      </c>
      <c r="U123" s="334"/>
      <c r="AB123" s="223"/>
      <c r="AC123" s="223"/>
      <c r="AD123" s="223"/>
      <c r="AE123" s="223"/>
      <c r="AF123" s="223"/>
      <c r="AG123" s="223"/>
      <c r="AH123" s="223"/>
      <c r="AJ123" s="331"/>
      <c r="AK123" s="332"/>
      <c r="AL123" s="332"/>
      <c r="AM123" s="332"/>
      <c r="AN123" s="332"/>
      <c r="AO123" s="332"/>
      <c r="AP123" s="332"/>
      <c r="AQ123" s="333"/>
      <c r="BH123" s="203" t="s">
        <v>163</v>
      </c>
      <c r="BI123" s="98" t="s">
        <v>9</v>
      </c>
      <c r="BJ123" s="148" t="s">
        <v>113</v>
      </c>
      <c r="BK123" s="197">
        <f t="shared" si="19"/>
        <v>0</v>
      </c>
      <c r="BL123" s="197">
        <v>120</v>
      </c>
      <c r="BM123" s="197">
        <f t="shared" si="20"/>
        <v>0</v>
      </c>
      <c r="BN123" s="198">
        <v>61</v>
      </c>
      <c r="BO123" s="204">
        <f t="shared" si="33"/>
        <v>0</v>
      </c>
      <c r="BP123" s="120">
        <f>IF(AND($BI$92&gt;=51,$BI$92&lt;=60.99),1,0)</f>
        <v>0</v>
      </c>
      <c r="BQ123" s="121">
        <f t="shared" si="22"/>
        <v>0</v>
      </c>
      <c r="BR123" s="205">
        <f t="shared" si="23"/>
        <v>0</v>
      </c>
      <c r="BS123" s="99" t="str">
        <f t="shared" si="24"/>
        <v/>
      </c>
      <c r="BT123" s="100" t="str">
        <f t="shared" si="25"/>
        <v/>
      </c>
      <c r="BU123" s="206"/>
      <c r="BV123" s="206"/>
    </row>
    <row r="124" spans="2:74" ht="9.75" hidden="1" customHeight="1" x14ac:dyDescent="0.2">
      <c r="R124" s="83" t="s">
        <v>69</v>
      </c>
      <c r="T124" s="334" t="str">
        <f t="shared" si="32"/>
        <v/>
      </c>
      <c r="U124" s="334"/>
      <c r="BH124" s="203" t="s">
        <v>166</v>
      </c>
      <c r="BI124" s="98" t="s">
        <v>9</v>
      </c>
      <c r="BJ124" s="148" t="s">
        <v>169</v>
      </c>
      <c r="BK124" s="197">
        <f t="shared" si="19"/>
        <v>0</v>
      </c>
      <c r="BL124" s="197">
        <v>100</v>
      </c>
      <c r="BM124" s="197">
        <f t="shared" si="20"/>
        <v>0</v>
      </c>
      <c r="BN124" s="198">
        <v>0</v>
      </c>
      <c r="BO124" s="204">
        <f>+BM124</f>
        <v>0</v>
      </c>
      <c r="BP124" s="217">
        <f>IF(AND($BI$92&gt;=61,$BI$92&lt;=90.99),1,0)</f>
        <v>0</v>
      </c>
      <c r="BQ124" s="121">
        <f t="shared" si="22"/>
        <v>0</v>
      </c>
      <c r="BR124" s="205">
        <f t="shared" si="23"/>
        <v>0</v>
      </c>
      <c r="BS124" s="99" t="str">
        <f t="shared" si="24"/>
        <v/>
      </c>
      <c r="BT124" s="100" t="str">
        <f t="shared" si="25"/>
        <v/>
      </c>
      <c r="BU124" s="206"/>
      <c r="BV124" s="206"/>
    </row>
    <row r="125" spans="2:74" ht="9.75" hidden="1" customHeight="1" x14ac:dyDescent="0.2">
      <c r="AB125" s="399" t="s">
        <v>22</v>
      </c>
      <c r="AC125" s="399"/>
      <c r="AD125" s="399"/>
      <c r="AE125" s="399"/>
      <c r="AF125" s="399"/>
      <c r="AG125" s="399"/>
      <c r="AH125" s="399"/>
      <c r="AJ125" s="400" t="str">
        <f>AJ62</f>
        <v>Terza</v>
      </c>
      <c r="AK125" s="401"/>
      <c r="AL125" s="401"/>
      <c r="AM125" s="401"/>
      <c r="AN125" s="401"/>
      <c r="AO125" s="401"/>
      <c r="AP125" s="401"/>
      <c r="AQ125" s="402"/>
      <c r="BH125" s="203" t="s">
        <v>167</v>
      </c>
      <c r="BI125" s="98" t="s">
        <v>9</v>
      </c>
      <c r="BJ125" s="148" t="s">
        <v>117</v>
      </c>
      <c r="BK125" s="197">
        <f t="shared" si="19"/>
        <v>0</v>
      </c>
      <c r="BL125" s="197">
        <v>95</v>
      </c>
      <c r="BM125" s="197">
        <f t="shared" si="20"/>
        <v>0</v>
      </c>
      <c r="BN125" s="198">
        <v>90.99</v>
      </c>
      <c r="BO125" s="204">
        <f>IF(BM125&lt;BN125,BN125,BM125)</f>
        <v>90.99</v>
      </c>
      <c r="BP125" s="120">
        <f>IF(AND($BI$92&gt;=91,$BI$92&lt;=120),1,0)</f>
        <v>0</v>
      </c>
      <c r="BQ125" s="121">
        <f t="shared" si="22"/>
        <v>0</v>
      </c>
      <c r="BR125" s="205">
        <f t="shared" si="23"/>
        <v>0</v>
      </c>
      <c r="BS125" s="99" t="str">
        <f t="shared" si="24"/>
        <v/>
      </c>
      <c r="BT125" s="100" t="str">
        <f t="shared" si="25"/>
        <v/>
      </c>
      <c r="BU125" s="206"/>
      <c r="BV125" s="206"/>
    </row>
    <row r="126" spans="2:74" ht="9.75" hidden="1" customHeight="1" x14ac:dyDescent="0.2">
      <c r="R126" s="26" t="s">
        <v>71</v>
      </c>
      <c r="BH126" s="208" t="s">
        <v>168</v>
      </c>
      <c r="BI126" s="156" t="s">
        <v>9</v>
      </c>
      <c r="BJ126" s="218" t="s">
        <v>119</v>
      </c>
      <c r="BK126" s="210">
        <f t="shared" si="19"/>
        <v>0</v>
      </c>
      <c r="BL126" s="210">
        <v>90</v>
      </c>
      <c r="BM126" s="210">
        <f t="shared" si="20"/>
        <v>0</v>
      </c>
      <c r="BN126" s="211">
        <v>114</v>
      </c>
      <c r="BO126" s="212">
        <f>IF(BM126&lt;BN126,BN126,BM126)</f>
        <v>114</v>
      </c>
      <c r="BP126" s="124">
        <f>IF($BI$92&gt;=120.01,1,0)</f>
        <v>0</v>
      </c>
      <c r="BQ126" s="125">
        <f t="shared" si="22"/>
        <v>0</v>
      </c>
      <c r="BR126" s="213">
        <f t="shared" si="23"/>
        <v>0</v>
      </c>
      <c r="BS126" s="167" t="str">
        <f t="shared" si="24"/>
        <v/>
      </c>
      <c r="BT126" s="168" t="str">
        <f t="shared" si="25"/>
        <v/>
      </c>
      <c r="BU126" s="206"/>
      <c r="BV126" s="206"/>
    </row>
    <row r="127" spans="2:74" ht="9.75" hidden="1" customHeight="1" x14ac:dyDescent="0.2">
      <c r="W127" s="225" t="str">
        <f>W52</f>
        <v>M</v>
      </c>
      <c r="X127" s="226"/>
      <c r="Y127" s="227"/>
      <c r="AC127" s="403" t="s">
        <v>171</v>
      </c>
      <c r="AD127" s="403"/>
      <c r="AE127" s="403"/>
      <c r="AF127" s="403"/>
      <c r="AG127" s="403"/>
      <c r="AH127" s="403"/>
      <c r="AI127" s="403"/>
      <c r="AJ127" s="403"/>
      <c r="AK127" s="403"/>
      <c r="AL127" s="403"/>
      <c r="AM127" s="403"/>
      <c r="AN127" s="24"/>
      <c r="AO127" s="360" t="str">
        <f>AA62</f>
        <v>NO</v>
      </c>
      <c r="AP127" s="404"/>
      <c r="AQ127" s="361"/>
    </row>
    <row r="128" spans="2:74" ht="9.75" hidden="1" customHeight="1" x14ac:dyDescent="0.2">
      <c r="B128" s="24"/>
      <c r="C128" s="33"/>
      <c r="D128" s="33"/>
      <c r="E128" s="33"/>
      <c r="F128" s="33"/>
      <c r="G128" s="33"/>
      <c r="H128" s="33"/>
      <c r="I128" s="33"/>
      <c r="J128" s="33"/>
      <c r="K128" s="33"/>
      <c r="L128" s="409" t="str">
        <f>CONCATENATE(BC89," ",BC90," ",BC91," ",BC92)</f>
        <v xml:space="preserve">   </v>
      </c>
      <c r="M128" s="410"/>
      <c r="N128" s="410"/>
      <c r="O128" s="410"/>
      <c r="P128" s="410"/>
      <c r="Q128" s="410"/>
      <c r="R128" s="410"/>
      <c r="S128" s="410"/>
      <c r="T128" s="410"/>
      <c r="U128" s="411"/>
      <c r="W128" s="251"/>
      <c r="X128" s="252"/>
      <c r="Y128" s="253"/>
      <c r="AC128" s="403"/>
      <c r="AD128" s="403"/>
      <c r="AE128" s="403"/>
      <c r="AF128" s="403"/>
      <c r="AG128" s="403"/>
      <c r="AH128" s="403"/>
      <c r="AI128" s="403"/>
      <c r="AJ128" s="403"/>
      <c r="AK128" s="403"/>
      <c r="AL128" s="403"/>
      <c r="AM128" s="403"/>
      <c r="AN128" s="44"/>
      <c r="AO128" s="405"/>
      <c r="AP128" s="406"/>
      <c r="AQ128" s="407"/>
    </row>
    <row r="129" spans="2:86" ht="9.75" hidden="1" customHeight="1" x14ac:dyDescent="0.2">
      <c r="W129" s="228"/>
      <c r="X129" s="229"/>
      <c r="Y129" s="230"/>
      <c r="AC129" s="403"/>
      <c r="AD129" s="403"/>
      <c r="AE129" s="403"/>
      <c r="AF129" s="403"/>
      <c r="AG129" s="403"/>
      <c r="AH129" s="403"/>
      <c r="AI129" s="403"/>
      <c r="AJ129" s="403"/>
      <c r="AK129" s="403"/>
      <c r="AL129" s="403"/>
      <c r="AM129" s="403"/>
      <c r="AN129" s="44"/>
      <c r="AO129" s="362"/>
      <c r="AP129" s="408"/>
      <c r="AQ129" s="363"/>
    </row>
    <row r="130" spans="2:86" ht="9.75" hidden="1" customHeight="1" x14ac:dyDescent="0.2"/>
    <row r="131" spans="2:86" ht="10.5" hidden="1" customHeight="1" x14ac:dyDescent="0.2">
      <c r="B131" s="392" t="str">
        <f>CONCATENATE(G1," dichiara che i dati sopra comunicati sono stati dallo stesso rilevati e verificati. Pertanto, riconoscendo ","che la presente attestazione è rilasciata, secondo quanto previsto dal D.M. 16/01/2017, sulla"," base di quanto dichirato dallo stesso, solleva espressamente l'Unione Piccoli Proprietari Immobiliari da qualsiasi responsabilità derivante da errori, omissioni, asserzioni non veritiere relative ai dati dichiarati nel presente atto.")</f>
        <v xml:space="preserve"> dichiara che i dati sopra comunicati sono stati dallo stesso rilevati e verificati. Pertanto, riconoscendo che la presente attestazione è rilasciata, secondo quanto previsto dal D.M. 16/01/2017, sulla base di quanto dichirato dallo stesso, solleva espressamente l'Unione Piccoli Proprietari Immobiliari da qualsiasi responsabilità derivante da errori, omissioni, asserzioni non veritiere relative ai dati dichiarati nel presente atto.</v>
      </c>
      <c r="C131" s="392"/>
      <c r="D131" s="392"/>
      <c r="E131" s="392"/>
      <c r="F131" s="392"/>
      <c r="G131" s="392"/>
      <c r="H131" s="392"/>
      <c r="I131" s="392"/>
      <c r="J131" s="392"/>
      <c r="K131" s="392"/>
      <c r="L131" s="392"/>
      <c r="M131" s="392"/>
      <c r="N131" s="392"/>
      <c r="O131" s="392"/>
      <c r="P131" s="392"/>
      <c r="Q131" s="392"/>
      <c r="R131" s="392"/>
      <c r="S131" s="392"/>
      <c r="T131" s="392"/>
      <c r="U131" s="392"/>
      <c r="V131" s="392"/>
      <c r="W131" s="392"/>
      <c r="X131" s="392"/>
      <c r="Y131" s="392"/>
      <c r="Z131" s="392"/>
      <c r="AA131" s="392"/>
      <c r="AB131" s="392"/>
      <c r="AC131" s="392"/>
      <c r="AD131" s="392"/>
      <c r="AE131" s="392"/>
      <c r="AF131" s="392"/>
      <c r="AG131" s="392"/>
      <c r="AH131" s="392"/>
      <c r="AI131" s="392"/>
      <c r="AJ131" s="392"/>
      <c r="AK131" s="392"/>
      <c r="AL131" s="392"/>
      <c r="AM131" s="392"/>
      <c r="AN131" s="392"/>
      <c r="AO131" s="392"/>
      <c r="AP131" s="392"/>
      <c r="AQ131" s="392"/>
    </row>
    <row r="132" spans="2:86" ht="10.5" hidden="1" customHeight="1" x14ac:dyDescent="0.2">
      <c r="B132" s="392"/>
      <c r="C132" s="392"/>
      <c r="D132" s="392"/>
      <c r="E132" s="392"/>
      <c r="F132" s="392"/>
      <c r="G132" s="392"/>
      <c r="H132" s="392"/>
      <c r="I132" s="392"/>
      <c r="J132" s="392"/>
      <c r="K132" s="392"/>
      <c r="L132" s="392"/>
      <c r="M132" s="392"/>
      <c r="N132" s="392"/>
      <c r="O132" s="392"/>
      <c r="P132" s="392"/>
      <c r="Q132" s="392"/>
      <c r="R132" s="392"/>
      <c r="S132" s="392"/>
      <c r="T132" s="392"/>
      <c r="U132" s="392"/>
      <c r="V132" s="392"/>
      <c r="W132" s="392"/>
      <c r="X132" s="392"/>
      <c r="Y132" s="392"/>
      <c r="Z132" s="392"/>
      <c r="AA132" s="392"/>
      <c r="AB132" s="392"/>
      <c r="AC132" s="392"/>
      <c r="AD132" s="392"/>
      <c r="AE132" s="392"/>
      <c r="AF132" s="392"/>
      <c r="AG132" s="392"/>
      <c r="AH132" s="392"/>
      <c r="AI132" s="392"/>
      <c r="AJ132" s="392"/>
      <c r="AK132" s="392"/>
      <c r="AL132" s="392"/>
      <c r="AM132" s="392"/>
      <c r="AN132" s="392"/>
      <c r="AO132" s="392"/>
      <c r="AP132" s="392"/>
      <c r="AQ132" s="392"/>
    </row>
    <row r="133" spans="2:86" ht="10.5" hidden="1" customHeight="1" x14ac:dyDescent="0.2">
      <c r="B133" s="392"/>
      <c r="C133" s="392"/>
      <c r="D133" s="392"/>
      <c r="E133" s="392"/>
      <c r="F133" s="392"/>
      <c r="G133" s="392"/>
      <c r="H133" s="392"/>
      <c r="I133" s="392"/>
      <c r="J133" s="392"/>
      <c r="K133" s="392"/>
      <c r="L133" s="392"/>
      <c r="M133" s="392"/>
      <c r="N133" s="392"/>
      <c r="O133" s="392"/>
      <c r="P133" s="392"/>
      <c r="Q133" s="392"/>
      <c r="R133" s="392"/>
      <c r="S133" s="392"/>
      <c r="T133" s="392"/>
      <c r="U133" s="392"/>
      <c r="V133" s="392"/>
      <c r="W133" s="392"/>
      <c r="X133" s="392"/>
      <c r="Y133" s="392"/>
      <c r="Z133" s="392"/>
      <c r="AA133" s="392"/>
      <c r="AB133" s="392"/>
      <c r="AC133" s="392"/>
      <c r="AD133" s="392"/>
      <c r="AE133" s="392"/>
      <c r="AF133" s="392"/>
      <c r="AG133" s="392"/>
      <c r="AH133" s="392"/>
      <c r="AI133" s="392"/>
      <c r="AJ133" s="392"/>
      <c r="AK133" s="392"/>
      <c r="AL133" s="392"/>
      <c r="AM133" s="392"/>
      <c r="AN133" s="392"/>
      <c r="AO133" s="392"/>
      <c r="AP133" s="392"/>
      <c r="AQ133" s="392"/>
    </row>
    <row r="134" spans="2:86" ht="10.5" hidden="1" customHeight="1" x14ac:dyDescent="0.2">
      <c r="B134" s="392"/>
      <c r="C134" s="392"/>
      <c r="D134" s="392"/>
      <c r="E134" s="392"/>
      <c r="F134" s="392"/>
      <c r="G134" s="392"/>
      <c r="H134" s="392"/>
      <c r="I134" s="392"/>
      <c r="J134" s="392"/>
      <c r="K134" s="392"/>
      <c r="L134" s="392"/>
      <c r="M134" s="392"/>
      <c r="N134" s="392"/>
      <c r="O134" s="392"/>
      <c r="P134" s="392"/>
      <c r="Q134" s="392"/>
      <c r="R134" s="392"/>
      <c r="S134" s="392"/>
      <c r="T134" s="392"/>
      <c r="U134" s="392"/>
      <c r="V134" s="392"/>
      <c r="W134" s="392"/>
      <c r="X134" s="392"/>
      <c r="Y134" s="392"/>
      <c r="Z134" s="392"/>
      <c r="AA134" s="392"/>
      <c r="AB134" s="392"/>
      <c r="AC134" s="392"/>
      <c r="AD134" s="392"/>
      <c r="AE134" s="392"/>
      <c r="AF134" s="392"/>
      <c r="AG134" s="392"/>
      <c r="AH134" s="392"/>
      <c r="AI134" s="392"/>
      <c r="AJ134" s="392"/>
      <c r="AK134" s="392"/>
      <c r="AL134" s="392"/>
      <c r="AM134" s="392"/>
      <c r="AN134" s="392"/>
      <c r="AO134" s="392"/>
      <c r="AP134" s="392"/>
      <c r="AQ134" s="392"/>
    </row>
    <row r="135" spans="2:86" ht="10.5" hidden="1" customHeight="1" x14ac:dyDescent="0.2">
      <c r="B135" s="392"/>
      <c r="C135" s="392"/>
      <c r="D135" s="392"/>
      <c r="E135" s="392"/>
      <c r="F135" s="392"/>
      <c r="G135" s="392"/>
      <c r="H135" s="392"/>
      <c r="I135" s="392"/>
      <c r="J135" s="392"/>
      <c r="K135" s="392"/>
      <c r="L135" s="392"/>
      <c r="M135" s="392"/>
      <c r="N135" s="392"/>
      <c r="O135" s="392"/>
      <c r="P135" s="392"/>
      <c r="Q135" s="392"/>
      <c r="R135" s="392"/>
      <c r="S135" s="392"/>
      <c r="T135" s="392"/>
      <c r="U135" s="392"/>
      <c r="V135" s="392"/>
      <c r="W135" s="392"/>
      <c r="X135" s="392"/>
      <c r="Y135" s="392"/>
      <c r="Z135" s="392"/>
      <c r="AA135" s="392"/>
      <c r="AB135" s="392"/>
      <c r="AC135" s="392"/>
      <c r="AD135" s="392"/>
      <c r="AE135" s="392"/>
      <c r="AF135" s="392"/>
      <c r="AG135" s="392"/>
      <c r="AH135" s="392"/>
      <c r="AI135" s="392"/>
      <c r="AJ135" s="392"/>
      <c r="AK135" s="392"/>
      <c r="AL135" s="392"/>
      <c r="AM135" s="392"/>
      <c r="AN135" s="392"/>
      <c r="AO135" s="392"/>
      <c r="AP135" s="392"/>
      <c r="AQ135" s="392"/>
    </row>
    <row r="136" spans="2:86" ht="10.5" hidden="1" customHeight="1" x14ac:dyDescent="0.2">
      <c r="B136" s="392"/>
      <c r="C136" s="392"/>
      <c r="D136" s="392"/>
      <c r="E136" s="392"/>
      <c r="F136" s="392"/>
      <c r="G136" s="392"/>
      <c r="H136" s="392"/>
      <c r="I136" s="392"/>
      <c r="J136" s="392"/>
      <c r="K136" s="392"/>
      <c r="L136" s="392"/>
      <c r="M136" s="392"/>
      <c r="N136" s="392"/>
      <c r="O136" s="392"/>
      <c r="P136" s="392"/>
      <c r="Q136" s="392"/>
      <c r="R136" s="392"/>
      <c r="S136" s="392"/>
      <c r="T136" s="392"/>
      <c r="U136" s="392"/>
      <c r="V136" s="392"/>
      <c r="W136" s="392"/>
      <c r="X136" s="392"/>
      <c r="Y136" s="392"/>
      <c r="Z136" s="392"/>
      <c r="AA136" s="392"/>
      <c r="AB136" s="392"/>
      <c r="AC136" s="392"/>
      <c r="AD136" s="392"/>
      <c r="AE136" s="392"/>
      <c r="AF136" s="392"/>
      <c r="AG136" s="392"/>
      <c r="AH136" s="392"/>
      <c r="AI136" s="392"/>
      <c r="AJ136" s="392"/>
      <c r="AK136" s="392"/>
      <c r="AL136" s="392"/>
      <c r="AM136" s="392"/>
      <c r="AN136" s="392"/>
      <c r="AO136" s="392"/>
      <c r="AP136" s="392"/>
      <c r="AQ136" s="392"/>
    </row>
    <row r="137" spans="2:86" ht="9.75" hidden="1" customHeight="1" x14ac:dyDescent="0.2">
      <c r="C137" s="394">
        <f>AJ11</f>
        <v>0</v>
      </c>
      <c r="D137" s="394"/>
      <c r="E137" s="394"/>
      <c r="F137" s="394"/>
      <c r="G137" s="394"/>
      <c r="H137" s="394"/>
      <c r="I137" s="394"/>
      <c r="J137" s="394"/>
      <c r="K137" s="394"/>
      <c r="L137" s="394"/>
      <c r="M137" s="394"/>
      <c r="N137" s="394"/>
      <c r="O137" s="394"/>
      <c r="P137" s="394"/>
      <c r="Q137" s="45"/>
      <c r="R137" s="395"/>
      <c r="S137" s="395"/>
      <c r="T137" s="395"/>
      <c r="U137" s="395"/>
      <c r="V137" s="395"/>
      <c r="W137" s="395"/>
      <c r="X137" s="395"/>
      <c r="Y137" s="395"/>
      <c r="Z137" s="395"/>
      <c r="AA137" s="395"/>
      <c r="AB137" s="395"/>
      <c r="AC137" s="395"/>
      <c r="AD137" s="395"/>
      <c r="AE137" s="395"/>
      <c r="AF137" s="395"/>
      <c r="AG137" s="395"/>
      <c r="AH137" s="395"/>
      <c r="AI137" s="395"/>
      <c r="AJ137" s="395"/>
      <c r="AK137" s="395"/>
      <c r="AL137" s="395"/>
      <c r="AM137" s="395"/>
      <c r="AN137" s="395"/>
      <c r="AO137" s="395"/>
      <c r="AP137" s="395"/>
      <c r="AQ137" s="395"/>
    </row>
    <row r="138" spans="2:86" ht="9.75" hidden="1" customHeight="1" x14ac:dyDescent="0.2">
      <c r="B138" s="397" t="s">
        <v>172</v>
      </c>
      <c r="C138" s="397"/>
      <c r="D138" s="397"/>
      <c r="E138" s="397"/>
      <c r="F138" s="397"/>
      <c r="G138" s="397"/>
      <c r="H138" s="397"/>
      <c r="I138" s="397"/>
      <c r="J138" s="397"/>
      <c r="K138" s="397"/>
      <c r="L138" s="397"/>
      <c r="M138" s="397"/>
      <c r="N138" s="397"/>
      <c r="O138" s="397"/>
      <c r="P138" s="397"/>
      <c r="Q138" s="397"/>
      <c r="R138" s="396"/>
      <c r="S138" s="396"/>
      <c r="T138" s="396"/>
      <c r="U138" s="396"/>
      <c r="V138" s="396"/>
      <c r="W138" s="396"/>
      <c r="X138" s="396"/>
      <c r="Y138" s="396"/>
      <c r="Z138" s="396"/>
      <c r="AA138" s="396"/>
      <c r="AB138" s="396"/>
      <c r="AC138" s="396"/>
      <c r="AD138" s="396"/>
      <c r="AE138" s="396"/>
      <c r="AF138" s="396"/>
      <c r="AG138" s="396"/>
      <c r="AH138" s="396"/>
      <c r="AI138" s="396"/>
      <c r="AJ138" s="396"/>
      <c r="AK138" s="396"/>
      <c r="AL138" s="396"/>
      <c r="AM138" s="396"/>
      <c r="AN138" s="396"/>
      <c r="AO138" s="396"/>
      <c r="AP138" s="396"/>
      <c r="AQ138" s="396"/>
    </row>
    <row r="139" spans="2:86" ht="9.75" hidden="1" customHeight="1" x14ac:dyDescent="0.2">
      <c r="BB139" s="86" t="s">
        <v>173</v>
      </c>
    </row>
    <row r="140" spans="2:86" ht="10.5" hidden="1" customHeight="1" x14ac:dyDescent="0.2">
      <c r="B140" s="398" t="s">
        <v>233</v>
      </c>
      <c r="C140" s="398"/>
      <c r="D140" s="398"/>
      <c r="E140" s="398"/>
      <c r="F140" s="398"/>
      <c r="G140" s="398"/>
      <c r="H140" s="398"/>
      <c r="I140" s="398"/>
      <c r="J140" s="398"/>
      <c r="K140" s="398"/>
      <c r="L140" s="398"/>
      <c r="M140" s="398"/>
      <c r="N140" s="398"/>
      <c r="O140" s="398"/>
      <c r="P140" s="398"/>
      <c r="Q140" s="398"/>
      <c r="R140" s="398"/>
      <c r="S140" s="398"/>
      <c r="T140" s="398"/>
      <c r="U140" s="398"/>
      <c r="V140" s="398"/>
      <c r="W140" s="398"/>
      <c r="X140" s="398"/>
      <c r="Y140" s="398"/>
      <c r="Z140" s="398"/>
      <c r="AA140" s="398"/>
      <c r="AB140" s="398"/>
      <c r="AC140" s="398"/>
      <c r="AD140" s="398"/>
      <c r="AE140" s="398"/>
      <c r="AF140" s="398"/>
      <c r="AG140" s="398"/>
      <c r="AH140" s="398"/>
      <c r="AI140" s="398"/>
      <c r="AJ140" s="398"/>
      <c r="AK140" s="398"/>
      <c r="AL140" s="398"/>
      <c r="AM140" s="398"/>
      <c r="AN140" s="398"/>
      <c r="AO140" s="398"/>
      <c r="AP140" s="398"/>
      <c r="AQ140" s="398"/>
      <c r="AT140" s="219"/>
      <c r="AU140" s="219"/>
      <c r="AV140" s="219"/>
      <c r="AW140" s="219"/>
      <c r="AX140" s="219"/>
      <c r="AY140" s="219"/>
      <c r="AZ140" s="219"/>
      <c r="BA140" s="219"/>
      <c r="BB140" s="219"/>
      <c r="BC140" s="219"/>
      <c r="BD140" s="219"/>
      <c r="BE140" s="219"/>
      <c r="BF140" s="219"/>
      <c r="BG140" s="219"/>
      <c r="BH140" s="219"/>
      <c r="BI140" s="219"/>
      <c r="BJ140" s="219"/>
      <c r="BK140" s="219"/>
      <c r="BL140" s="219"/>
      <c r="BM140" s="219"/>
      <c r="BN140" s="219"/>
      <c r="BO140" s="219"/>
      <c r="BP140" s="219"/>
      <c r="BQ140" s="219"/>
      <c r="BR140" s="219"/>
      <c r="BS140" s="219"/>
      <c r="BT140" s="219"/>
      <c r="BU140" s="219"/>
      <c r="BV140" s="219"/>
      <c r="BW140" s="219"/>
      <c r="BX140" s="219"/>
      <c r="BY140" s="219"/>
      <c r="BZ140" s="219"/>
      <c r="CA140" s="219"/>
      <c r="CB140" s="220"/>
      <c r="CC140" s="220"/>
      <c r="CD140" s="219"/>
      <c r="CE140" s="219"/>
      <c r="CF140" s="219"/>
      <c r="CG140" s="219"/>
    </row>
    <row r="141" spans="2:86" ht="10.5" hidden="1" customHeight="1" x14ac:dyDescent="0.2">
      <c r="B141" s="398"/>
      <c r="C141" s="398"/>
      <c r="D141" s="398"/>
      <c r="E141" s="398"/>
      <c r="F141" s="398"/>
      <c r="G141" s="398"/>
      <c r="H141" s="398"/>
      <c r="I141" s="398"/>
      <c r="J141" s="398"/>
      <c r="K141" s="398"/>
      <c r="L141" s="398"/>
      <c r="M141" s="398"/>
      <c r="N141" s="398"/>
      <c r="O141" s="398"/>
      <c r="P141" s="398"/>
      <c r="Q141" s="398"/>
      <c r="R141" s="398"/>
      <c r="S141" s="398"/>
      <c r="T141" s="398"/>
      <c r="U141" s="398"/>
      <c r="V141" s="398"/>
      <c r="W141" s="398"/>
      <c r="X141" s="398"/>
      <c r="Y141" s="398"/>
      <c r="Z141" s="398"/>
      <c r="AA141" s="398"/>
      <c r="AB141" s="398"/>
      <c r="AC141" s="398"/>
      <c r="AD141" s="398"/>
      <c r="AE141" s="398"/>
      <c r="AF141" s="398"/>
      <c r="AG141" s="398"/>
      <c r="AH141" s="398"/>
      <c r="AI141" s="398"/>
      <c r="AJ141" s="398"/>
      <c r="AK141" s="398"/>
      <c r="AL141" s="398"/>
      <c r="AM141" s="398"/>
      <c r="AN141" s="398"/>
      <c r="AO141" s="398"/>
      <c r="AP141" s="398"/>
      <c r="AQ141" s="398"/>
      <c r="AS141" s="418"/>
      <c r="AT141" s="418"/>
      <c r="AU141" s="418"/>
      <c r="AV141" s="418"/>
      <c r="AW141" s="418"/>
      <c r="AX141" s="418"/>
      <c r="AY141" s="418"/>
      <c r="AZ141" s="418"/>
      <c r="BA141" s="418"/>
      <c r="BB141" s="418"/>
      <c r="BC141" s="418"/>
      <c r="BD141" s="418"/>
      <c r="BE141" s="418"/>
      <c r="BF141" s="418"/>
      <c r="BG141" s="418"/>
      <c r="BH141" s="418"/>
      <c r="BI141" s="418"/>
      <c r="BJ141" s="418"/>
      <c r="BK141" s="418"/>
      <c r="BL141" s="418"/>
      <c r="BM141" s="418"/>
      <c r="BN141" s="418"/>
      <c r="BO141" s="418"/>
      <c r="BP141" s="418"/>
      <c r="BQ141" s="418"/>
      <c r="BR141" s="418"/>
      <c r="BS141" s="418"/>
      <c r="BT141" s="418"/>
      <c r="BU141" s="418"/>
      <c r="BV141" s="418"/>
      <c r="BW141" s="418"/>
      <c r="BX141" s="418"/>
      <c r="BY141" s="418"/>
      <c r="BZ141" s="418"/>
      <c r="CA141" s="418"/>
      <c r="CB141" s="418"/>
      <c r="CC141" s="418"/>
      <c r="CD141" s="418"/>
      <c r="CE141" s="418"/>
      <c r="CF141" s="418"/>
      <c r="CG141" s="418"/>
      <c r="CH141" s="418"/>
    </row>
    <row r="142" spans="2:86" ht="10.5" hidden="1" customHeight="1" x14ac:dyDescent="0.2">
      <c r="B142" s="398"/>
      <c r="C142" s="398"/>
      <c r="D142" s="398"/>
      <c r="E142" s="398"/>
      <c r="F142" s="398"/>
      <c r="G142" s="398"/>
      <c r="H142" s="398"/>
      <c r="I142" s="398"/>
      <c r="J142" s="398"/>
      <c r="K142" s="398"/>
      <c r="L142" s="398"/>
      <c r="M142" s="398"/>
      <c r="N142" s="398"/>
      <c r="O142" s="398"/>
      <c r="P142" s="398"/>
      <c r="Q142" s="398"/>
      <c r="R142" s="398"/>
      <c r="S142" s="398"/>
      <c r="T142" s="398"/>
      <c r="U142" s="398"/>
      <c r="V142" s="398"/>
      <c r="W142" s="398"/>
      <c r="X142" s="398"/>
      <c r="Y142" s="398"/>
      <c r="Z142" s="398"/>
      <c r="AA142" s="398"/>
      <c r="AB142" s="398"/>
      <c r="AC142" s="398"/>
      <c r="AD142" s="398"/>
      <c r="AE142" s="398"/>
      <c r="AF142" s="398"/>
      <c r="AG142" s="398"/>
      <c r="AH142" s="398"/>
      <c r="AI142" s="398"/>
      <c r="AJ142" s="398"/>
      <c r="AK142" s="398"/>
      <c r="AL142" s="398"/>
      <c r="AM142" s="398"/>
      <c r="AN142" s="398"/>
      <c r="AO142" s="398"/>
      <c r="AP142" s="398"/>
      <c r="AQ142" s="398"/>
      <c r="AS142" s="419"/>
      <c r="AT142" s="419"/>
      <c r="AU142" s="419"/>
      <c r="AV142" s="419"/>
      <c r="AW142" s="419"/>
      <c r="AX142" s="419"/>
      <c r="AY142" s="419"/>
      <c r="AZ142" s="419"/>
      <c r="BA142" s="419"/>
      <c r="BB142" s="419"/>
      <c r="BC142" s="419"/>
      <c r="BD142" s="419"/>
      <c r="BE142" s="419"/>
      <c r="BF142" s="419"/>
      <c r="BG142" s="419"/>
      <c r="BH142" s="419"/>
      <c r="BI142" s="419"/>
      <c r="BJ142" s="419"/>
      <c r="BK142" s="419"/>
      <c r="BL142" s="419"/>
      <c r="BM142" s="419"/>
      <c r="BN142" s="419"/>
      <c r="BO142" s="419"/>
      <c r="BP142" s="419"/>
      <c r="BQ142" s="419"/>
      <c r="BR142" s="419"/>
      <c r="BS142" s="419"/>
      <c r="BT142" s="419"/>
      <c r="BU142" s="419"/>
      <c r="BV142" s="419"/>
      <c r="BW142" s="419"/>
      <c r="BX142" s="419"/>
      <c r="BY142" s="419"/>
      <c r="BZ142" s="419"/>
      <c r="CA142" s="419"/>
      <c r="CB142" s="419"/>
      <c r="CC142" s="419"/>
      <c r="CD142" s="419"/>
      <c r="CE142" s="419"/>
      <c r="CF142" s="419"/>
      <c r="CG142" s="419"/>
      <c r="CH142" s="419"/>
    </row>
    <row r="143" spans="2:86" ht="10.5" hidden="1" customHeight="1" x14ac:dyDescent="0.2">
      <c r="B143" s="415" t="s">
        <v>174</v>
      </c>
      <c r="C143" s="415"/>
      <c r="D143" s="415"/>
      <c r="E143" s="415"/>
      <c r="F143" s="415"/>
      <c r="G143" s="415"/>
      <c r="H143" s="415"/>
      <c r="I143" s="415"/>
      <c r="J143" s="415"/>
      <c r="K143" s="42"/>
      <c r="L143" s="420" t="str">
        <f>'Calcolatore Metri'!J14</f>
        <v>TRENTO</v>
      </c>
      <c r="M143" s="420"/>
      <c r="N143" s="420"/>
      <c r="O143" s="420"/>
      <c r="P143" s="420"/>
      <c r="Q143" s="420"/>
      <c r="R143" s="420"/>
      <c r="S143" s="420"/>
      <c r="T143" s="420"/>
      <c r="U143" s="42"/>
      <c r="V143" s="223" t="s">
        <v>175</v>
      </c>
      <c r="W143" s="223"/>
      <c r="X143" s="223"/>
      <c r="Y143" s="223"/>
      <c r="Z143" s="223"/>
      <c r="AA143" s="223"/>
      <c r="AB143" s="223"/>
      <c r="AC143" s="223"/>
      <c r="AD143" s="223"/>
      <c r="AE143" s="223"/>
      <c r="AF143" s="223"/>
      <c r="AG143" s="223"/>
      <c r="AH143" s="223"/>
      <c r="AI143" s="223"/>
      <c r="AJ143" s="223"/>
      <c r="AK143" s="223"/>
      <c r="AL143" s="223"/>
      <c r="AM143" s="223"/>
      <c r="AN143" s="223"/>
      <c r="AO143" s="223"/>
      <c r="AP143" s="223"/>
      <c r="AQ143" s="223"/>
      <c r="AS143" s="419"/>
      <c r="AT143" s="419"/>
      <c r="AU143" s="419"/>
      <c r="AV143" s="419"/>
      <c r="AW143" s="419"/>
      <c r="AX143" s="419"/>
      <c r="AY143" s="419"/>
      <c r="AZ143" s="419"/>
      <c r="BA143" s="419"/>
      <c r="BB143" s="419"/>
      <c r="BC143" s="419"/>
      <c r="BD143" s="419"/>
      <c r="BE143" s="419"/>
      <c r="BF143" s="419"/>
      <c r="BG143" s="419"/>
      <c r="BH143" s="419"/>
      <c r="BI143" s="419"/>
      <c r="BJ143" s="419"/>
      <c r="BK143" s="419"/>
      <c r="BL143" s="419"/>
      <c r="BM143" s="419"/>
      <c r="BN143" s="419"/>
      <c r="BO143" s="419"/>
      <c r="BP143" s="419"/>
      <c r="BQ143" s="419"/>
      <c r="BR143" s="419"/>
      <c r="BS143" s="419"/>
      <c r="BT143" s="419"/>
      <c r="BU143" s="419"/>
      <c r="BV143" s="419"/>
      <c r="BW143" s="419"/>
      <c r="BX143" s="419"/>
      <c r="BY143" s="419"/>
      <c r="BZ143" s="419"/>
      <c r="CA143" s="419"/>
      <c r="CB143" s="419"/>
      <c r="CC143" s="419"/>
      <c r="CD143" s="419"/>
      <c r="CE143" s="419"/>
      <c r="CF143" s="419"/>
      <c r="CG143" s="419"/>
      <c r="CH143" s="419"/>
    </row>
    <row r="144" spans="2:86" ht="10.5" hidden="1" customHeight="1" x14ac:dyDescent="0.2">
      <c r="B144" s="414">
        <f>'Calcolatore Metri'!J17</f>
        <v>45658</v>
      </c>
      <c r="C144" s="414"/>
      <c r="D144" s="414"/>
      <c r="E144" s="414"/>
      <c r="F144" s="414"/>
      <c r="G144" s="414"/>
      <c r="H144" s="415" t="s">
        <v>176</v>
      </c>
      <c r="I144" s="415"/>
      <c r="J144" s="415"/>
      <c r="K144" s="415"/>
      <c r="L144" s="415"/>
      <c r="M144" s="415"/>
      <c r="N144" s="415"/>
      <c r="O144" s="415"/>
      <c r="P144" s="415"/>
      <c r="Q144" s="415"/>
      <c r="R144" s="415"/>
      <c r="S144" s="415"/>
      <c r="T144" s="415"/>
      <c r="U144" s="415"/>
      <c r="V144" s="415"/>
      <c r="W144" s="415"/>
      <c r="X144" s="415"/>
      <c r="Y144" s="415"/>
      <c r="Z144" s="415"/>
      <c r="AA144" s="415"/>
      <c r="AB144" s="415"/>
      <c r="AC144" s="415"/>
      <c r="AD144" s="415"/>
      <c r="AE144" s="415"/>
      <c r="AF144" s="415"/>
      <c r="AG144" s="415"/>
      <c r="AH144" s="415"/>
      <c r="AI144" s="415"/>
      <c r="AJ144" s="415"/>
      <c r="AK144" s="415"/>
      <c r="AL144" s="415"/>
      <c r="AM144" s="415"/>
      <c r="AN144" s="415"/>
      <c r="AO144" s="415"/>
      <c r="AP144" s="415"/>
      <c r="AQ144" s="415"/>
      <c r="AS144" s="219"/>
      <c r="AT144" s="219"/>
      <c r="AU144" s="219"/>
      <c r="AV144" s="219"/>
      <c r="AW144" s="219"/>
      <c r="AX144" s="219"/>
      <c r="AY144" s="219"/>
      <c r="AZ144" s="219"/>
      <c r="BA144" s="219"/>
      <c r="BB144" s="219"/>
      <c r="BC144" s="219"/>
      <c r="BD144" s="219"/>
      <c r="BE144" s="219"/>
      <c r="BF144" s="219"/>
      <c r="BG144" s="219"/>
      <c r="BH144" s="219"/>
      <c r="BI144" s="219"/>
      <c r="BJ144" s="219"/>
      <c r="BK144" s="219"/>
      <c r="BL144" s="219"/>
      <c r="BM144" s="219"/>
      <c r="BN144" s="219"/>
      <c r="BO144" s="219"/>
      <c r="BP144" s="219"/>
      <c r="BQ144" s="219"/>
      <c r="BR144" s="219"/>
      <c r="BS144" s="219"/>
      <c r="BT144" s="219"/>
      <c r="BU144" s="219"/>
      <c r="BV144" s="219"/>
      <c r="BW144" s="219"/>
      <c r="BX144" s="219"/>
      <c r="BY144" s="219"/>
      <c r="BZ144" s="219"/>
      <c r="CA144" s="219"/>
      <c r="CB144" s="220"/>
      <c r="CC144" s="220"/>
      <c r="CD144" s="219"/>
      <c r="CE144" s="219"/>
      <c r="CF144" s="219"/>
      <c r="CG144" s="219"/>
    </row>
    <row r="145" spans="7:85" ht="10.5" hidden="1" customHeight="1" x14ac:dyDescent="0.2">
      <c r="AS145" s="219"/>
      <c r="AT145" s="219"/>
      <c r="AU145" s="219"/>
      <c r="AV145" s="219"/>
      <c r="AW145" s="219"/>
      <c r="AX145" s="219"/>
      <c r="AY145" s="219"/>
      <c r="AZ145" s="219"/>
      <c r="BA145" s="219"/>
      <c r="BB145" s="219"/>
      <c r="BC145" s="219"/>
      <c r="BD145" s="219"/>
      <c r="BE145" s="219"/>
      <c r="BF145" s="219"/>
      <c r="BG145" s="219"/>
      <c r="BH145" s="219"/>
      <c r="BI145" s="219"/>
      <c r="BJ145" s="219"/>
      <c r="BK145" s="219"/>
      <c r="BL145" s="219"/>
      <c r="BM145" s="219"/>
      <c r="BN145" s="219"/>
      <c r="BO145" s="219"/>
      <c r="BP145" s="219"/>
      <c r="BQ145" s="219"/>
      <c r="BR145" s="219"/>
      <c r="BS145" s="219"/>
      <c r="BT145" s="219"/>
      <c r="BU145" s="219"/>
      <c r="BV145" s="219"/>
      <c r="BW145" s="219"/>
      <c r="BX145" s="219"/>
      <c r="BY145" s="219"/>
      <c r="BZ145" s="219"/>
      <c r="CA145" s="219"/>
      <c r="CB145" s="220"/>
      <c r="CC145" s="220"/>
      <c r="CD145" s="219"/>
      <c r="CE145" s="219"/>
      <c r="CF145" s="219"/>
      <c r="CG145" s="219"/>
    </row>
    <row r="146" spans="7:85" ht="12" hidden="1" customHeight="1" x14ac:dyDescent="0.2">
      <c r="M146" s="416" t="s">
        <v>177</v>
      </c>
      <c r="N146" s="416"/>
      <c r="O146" s="416"/>
      <c r="P146" s="416"/>
      <c r="Q146" s="416"/>
      <c r="R146" s="416"/>
      <c r="S146" s="24"/>
      <c r="T146" s="416" t="s">
        <v>178</v>
      </c>
      <c r="U146" s="416"/>
      <c r="V146" s="416"/>
      <c r="W146" s="416"/>
      <c r="X146" s="416"/>
      <c r="Y146" s="416"/>
      <c r="AB146" s="46" t="s">
        <v>179</v>
      </c>
      <c r="AC146" s="46"/>
      <c r="AD146" s="46"/>
      <c r="AE146" s="46"/>
      <c r="AF146" s="417">
        <f>C137</f>
        <v>0</v>
      </c>
      <c r="AG146" s="417"/>
      <c r="AH146" s="417"/>
      <c r="AI146" s="417"/>
      <c r="AJ146" s="417"/>
      <c r="AK146" s="417"/>
      <c r="AL146" s="417"/>
      <c r="AM146" s="417"/>
      <c r="AN146" s="417"/>
      <c r="AO146" s="417"/>
      <c r="AP146" s="417"/>
      <c r="AQ146" s="417"/>
      <c r="AS146" s="219"/>
      <c r="AT146" s="219"/>
      <c r="AU146" s="219"/>
      <c r="AV146" s="219"/>
      <c r="AW146" s="219"/>
      <c r="AX146" s="219"/>
      <c r="AY146" s="219"/>
      <c r="AZ146" s="219"/>
      <c r="BA146" s="219"/>
      <c r="BB146" s="219"/>
      <c r="BC146" s="219"/>
      <c r="BD146" s="219"/>
      <c r="BE146" s="219"/>
      <c r="BF146" s="219"/>
      <c r="BG146" s="219"/>
      <c r="BH146" s="219"/>
      <c r="BI146" s="219"/>
      <c r="BJ146" s="219"/>
      <c r="BK146" s="219"/>
      <c r="BL146" s="219"/>
      <c r="BM146" s="219"/>
      <c r="BN146" s="219"/>
      <c r="BO146" s="219"/>
      <c r="BP146" s="219"/>
      <c r="BQ146" s="219"/>
      <c r="BR146" s="219"/>
      <c r="BS146" s="219"/>
      <c r="BT146" s="219"/>
      <c r="BU146" s="219"/>
      <c r="BV146" s="219"/>
      <c r="BW146" s="219"/>
      <c r="BX146" s="219"/>
      <c r="BY146" s="219"/>
      <c r="BZ146" s="219"/>
      <c r="CA146" s="219"/>
      <c r="CB146" s="220"/>
      <c r="CC146" s="220"/>
      <c r="CD146" s="219"/>
      <c r="CE146" s="219"/>
      <c r="CF146" s="219"/>
      <c r="CG146" s="219"/>
    </row>
    <row r="147" spans="7:85" ht="12" hidden="1" customHeight="1" x14ac:dyDescent="0.2">
      <c r="G147" s="47"/>
      <c r="H147" s="47"/>
      <c r="I147" s="47"/>
      <c r="J147" s="47"/>
      <c r="K147" s="85" t="s">
        <v>134</v>
      </c>
      <c r="M147" s="413">
        <f>K68</f>
        <v>0</v>
      </c>
      <c r="N147" s="413"/>
      <c r="O147" s="413"/>
      <c r="P147" s="413"/>
      <c r="Q147" s="413"/>
      <c r="R147" s="413"/>
      <c r="S147" s="24"/>
      <c r="T147" s="413">
        <f>Q68</f>
        <v>0</v>
      </c>
      <c r="U147" s="413"/>
      <c r="V147" s="413"/>
      <c r="W147" s="413"/>
      <c r="X147" s="413"/>
      <c r="Y147" s="413"/>
      <c r="AB147" s="412" t="s">
        <v>180</v>
      </c>
      <c r="AC147" s="412"/>
      <c r="AD147" s="412"/>
      <c r="AE147" s="412"/>
      <c r="AF147" s="412"/>
      <c r="AG147" s="412"/>
      <c r="AH147" s="412"/>
      <c r="AI147" s="412"/>
      <c r="AJ147" s="412"/>
      <c r="AK147" s="412"/>
      <c r="AL147" s="412"/>
      <c r="AM147" s="412"/>
      <c r="AN147" s="412"/>
      <c r="AO147" s="412"/>
      <c r="AP147" s="412"/>
      <c r="AQ147" s="412"/>
    </row>
    <row r="148" spans="7:85" ht="12" hidden="1" customHeight="1" x14ac:dyDescent="0.2">
      <c r="G148" s="47"/>
      <c r="H148" s="47"/>
      <c r="I148" s="47"/>
      <c r="J148" s="47"/>
      <c r="K148" s="85" t="s">
        <v>137</v>
      </c>
      <c r="M148" s="413">
        <f>K70</f>
        <v>0</v>
      </c>
      <c r="N148" s="413"/>
      <c r="O148" s="413"/>
      <c r="P148" s="413"/>
      <c r="Q148" s="413"/>
      <c r="R148" s="413"/>
      <c r="S148" s="24"/>
      <c r="T148" s="413">
        <f>Q70</f>
        <v>0</v>
      </c>
      <c r="U148" s="413"/>
      <c r="V148" s="413"/>
      <c r="W148" s="413"/>
      <c r="X148" s="413"/>
      <c r="Y148" s="413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</row>
    <row r="149" spans="7:85" ht="12" hidden="1" customHeight="1" x14ac:dyDescent="0.2">
      <c r="G149" s="47"/>
      <c r="H149" s="47"/>
      <c r="I149" s="47"/>
      <c r="J149" s="47"/>
      <c r="K149" s="85" t="s">
        <v>140</v>
      </c>
      <c r="M149" s="413">
        <f>K72</f>
        <v>0</v>
      </c>
      <c r="N149" s="413"/>
      <c r="O149" s="413"/>
      <c r="P149" s="413"/>
      <c r="Q149" s="413"/>
      <c r="R149" s="413"/>
      <c r="S149" s="24"/>
      <c r="T149" s="413">
        <f>Q72</f>
        <v>0</v>
      </c>
      <c r="U149" s="413"/>
      <c r="V149" s="413"/>
      <c r="W149" s="413"/>
      <c r="X149" s="413"/>
      <c r="Y149" s="413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</row>
    <row r="150" spans="7:85" ht="12" hidden="1" customHeight="1" x14ac:dyDescent="0.2">
      <c r="G150" s="47"/>
      <c r="H150" s="47"/>
      <c r="I150" s="47"/>
      <c r="J150" s="47"/>
      <c r="K150" s="85" t="s">
        <v>143</v>
      </c>
      <c r="M150" s="413">
        <f>K74</f>
        <v>0</v>
      </c>
      <c r="N150" s="413"/>
      <c r="O150" s="413"/>
      <c r="P150" s="413"/>
      <c r="Q150" s="413"/>
      <c r="R150" s="413"/>
      <c r="S150" s="24"/>
      <c r="T150" s="413">
        <f>Q74</f>
        <v>0</v>
      </c>
      <c r="U150" s="413"/>
      <c r="V150" s="413"/>
      <c r="W150" s="413"/>
      <c r="X150" s="413"/>
      <c r="Y150" s="413"/>
    </row>
    <row r="151" spans="7:85" ht="12" hidden="1" customHeight="1" x14ac:dyDescent="0.2">
      <c r="G151" s="47"/>
      <c r="H151" s="47"/>
      <c r="I151" s="47"/>
      <c r="J151" s="47"/>
      <c r="K151" s="85" t="s">
        <v>132</v>
      </c>
      <c r="M151" s="413">
        <f>AG68</f>
        <v>0</v>
      </c>
      <c r="N151" s="413"/>
      <c r="O151" s="413"/>
      <c r="P151" s="413"/>
      <c r="Q151" s="413"/>
      <c r="R151" s="413"/>
      <c r="S151" s="24"/>
      <c r="T151" s="413">
        <f>AM68</f>
        <v>0</v>
      </c>
      <c r="U151" s="413"/>
      <c r="V151" s="413"/>
      <c r="W151" s="413"/>
      <c r="X151" s="413"/>
      <c r="Y151" s="413"/>
    </row>
    <row r="152" spans="7:85" ht="12" hidden="1" customHeight="1" x14ac:dyDescent="0.2">
      <c r="G152" s="47"/>
      <c r="H152" s="47"/>
      <c r="I152" s="47"/>
      <c r="J152" s="47"/>
      <c r="K152" s="85" t="str">
        <f>W74</f>
        <v>Studenti</v>
      </c>
      <c r="M152" s="413">
        <f>AG74</f>
        <v>0</v>
      </c>
      <c r="N152" s="413"/>
      <c r="O152" s="413"/>
      <c r="P152" s="413"/>
      <c r="Q152" s="413"/>
      <c r="R152" s="413"/>
      <c r="S152" s="24"/>
      <c r="T152" s="413">
        <f>AM74</f>
        <v>0</v>
      </c>
      <c r="U152" s="413"/>
      <c r="V152" s="413"/>
      <c r="W152" s="413"/>
      <c r="X152" s="413"/>
      <c r="Y152" s="413"/>
    </row>
    <row r="153" spans="7:85" ht="10.5" hidden="1" customHeight="1" x14ac:dyDescent="0.2"/>
    <row r="154" spans="7:85" ht="10.5" hidden="1" customHeight="1" x14ac:dyDescent="0.2"/>
    <row r="155" spans="7:85" ht="10.5" hidden="1" customHeight="1" x14ac:dyDescent="0.2"/>
    <row r="156" spans="7:85" ht="10.5" hidden="1" customHeight="1" x14ac:dyDescent="0.2"/>
    <row r="157" spans="7:85" ht="10.5" hidden="1" customHeight="1" x14ac:dyDescent="0.2"/>
    <row r="158" spans="7:85" ht="10.5" hidden="1" customHeight="1" x14ac:dyDescent="0.2"/>
    <row r="159" spans="7:85" ht="10.5" hidden="1" customHeight="1" x14ac:dyDescent="0.2"/>
    <row r="160" spans="7:85" ht="10.5" hidden="1" customHeight="1" x14ac:dyDescent="0.2"/>
    <row r="161" ht="10.5" hidden="1" customHeight="1" x14ac:dyDescent="0.2"/>
    <row r="162" ht="10.5" hidden="1" customHeight="1" x14ac:dyDescent="0.2"/>
    <row r="163" ht="10.5" hidden="1" customHeight="1" x14ac:dyDescent="0.2"/>
    <row r="164" ht="10.5" hidden="1" customHeight="1" x14ac:dyDescent="0.2"/>
    <row r="165" ht="10.5" hidden="1" customHeight="1" x14ac:dyDescent="0.2"/>
    <row r="166" ht="10.5" hidden="1" customHeight="1" x14ac:dyDescent="0.2"/>
    <row r="167" ht="10.5" hidden="1" customHeight="1" x14ac:dyDescent="0.2"/>
    <row r="168" ht="10.5" hidden="1" customHeight="1" x14ac:dyDescent="0.2"/>
    <row r="169" ht="10.5" hidden="1" customHeight="1" x14ac:dyDescent="0.2"/>
    <row r="170" ht="10.5" hidden="1" customHeight="1" x14ac:dyDescent="0.2"/>
    <row r="171" ht="10.5" hidden="1" customHeight="1" x14ac:dyDescent="0.2"/>
    <row r="172" ht="10.5" hidden="1" customHeight="1" x14ac:dyDescent="0.2"/>
    <row r="173" ht="10.5" hidden="1" customHeight="1" x14ac:dyDescent="0.2"/>
    <row r="174" ht="10.5" hidden="1" customHeight="1" x14ac:dyDescent="0.2"/>
    <row r="175" ht="10.5" hidden="1" customHeight="1" x14ac:dyDescent="0.2"/>
    <row r="176" ht="10.5" hidden="1" customHeight="1" x14ac:dyDescent="0.2"/>
    <row r="177" ht="10.5" hidden="1" customHeight="1" x14ac:dyDescent="0.2"/>
    <row r="178" ht="10.5" hidden="1" customHeight="1" x14ac:dyDescent="0.2"/>
    <row r="179" ht="10.5" hidden="1" customHeight="1" x14ac:dyDescent="0.2"/>
    <row r="180" ht="10.5" hidden="1" customHeight="1" x14ac:dyDescent="0.2"/>
    <row r="181" ht="10.5" hidden="1" customHeight="1" x14ac:dyDescent="0.2"/>
    <row r="182" ht="10.5" hidden="1" customHeight="1" x14ac:dyDescent="0.2"/>
    <row r="183" ht="10.5" hidden="1" customHeight="1" x14ac:dyDescent="0.2"/>
    <row r="184" ht="10.5" hidden="1" customHeight="1" x14ac:dyDescent="0.2"/>
    <row r="185" ht="10.5" hidden="1" customHeight="1" x14ac:dyDescent="0.2"/>
    <row r="186" ht="10.5" hidden="1" customHeight="1" x14ac:dyDescent="0.2"/>
    <row r="187" ht="10.5" hidden="1" customHeight="1" x14ac:dyDescent="0.2"/>
    <row r="188" ht="10.5" hidden="1" customHeight="1" x14ac:dyDescent="0.2"/>
    <row r="189" ht="10.5" hidden="1" customHeight="1" x14ac:dyDescent="0.2"/>
    <row r="190" ht="10.5" hidden="1" customHeight="1" x14ac:dyDescent="0.2"/>
    <row r="191" ht="10.5" hidden="1" customHeight="1" x14ac:dyDescent="0.2"/>
    <row r="192" ht="10.5" hidden="1" customHeight="1" x14ac:dyDescent="0.2"/>
    <row r="193" ht="10.5" hidden="1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9.75" customHeight="1" x14ac:dyDescent="0.2"/>
    <row r="221" ht="9.75" customHeight="1" x14ac:dyDescent="0.2"/>
    <row r="222" ht="9.75" customHeight="1" x14ac:dyDescent="0.2"/>
    <row r="223" ht="9.75" customHeight="1" x14ac:dyDescent="0.2"/>
    <row r="224" ht="9.75" customHeight="1" x14ac:dyDescent="0.2"/>
    <row r="225" ht="9.75" customHeight="1" x14ac:dyDescent="0.2"/>
    <row r="226" ht="9.75" customHeight="1" x14ac:dyDescent="0.2"/>
    <row r="227" ht="9.75" customHeight="1" x14ac:dyDescent="0.2"/>
    <row r="228" ht="9.75" customHeight="1" x14ac:dyDescent="0.2"/>
    <row r="229" ht="9.75" customHeight="1" x14ac:dyDescent="0.2"/>
  </sheetData>
  <sheetProtection algorithmName="SHA-512" hashValue="EMeJxJCm0ld4o8k1bzos8vAM8jMVh6g6DBQ4Y34ZMy/LPEDoinecrstwPSK9PIdx+VC3ia9wz+FgMv0Ss1W5nQ==" saltValue="otnuMR4O9B1faxbNf2BuSQ==" spinCount="100000" sheet="1" objects="1" scenarios="1" selectLockedCells="1"/>
  <mergeCells count="236">
    <mergeCell ref="M152:R152"/>
    <mergeCell ref="T152:Y152"/>
    <mergeCell ref="M149:R149"/>
    <mergeCell ref="T149:Y149"/>
    <mergeCell ref="M150:R150"/>
    <mergeCell ref="T150:Y150"/>
    <mergeCell ref="M151:R151"/>
    <mergeCell ref="T151:Y151"/>
    <mergeCell ref="M147:R147"/>
    <mergeCell ref="T147:Y147"/>
    <mergeCell ref="AB147:AQ147"/>
    <mergeCell ref="M148:R148"/>
    <mergeCell ref="T148:Y148"/>
    <mergeCell ref="B144:G144"/>
    <mergeCell ref="H144:AQ144"/>
    <mergeCell ref="M146:R146"/>
    <mergeCell ref="T146:Y146"/>
    <mergeCell ref="AF146:AQ146"/>
    <mergeCell ref="AS141:CH141"/>
    <mergeCell ref="AS142:CH142"/>
    <mergeCell ref="B143:J143"/>
    <mergeCell ref="L143:T143"/>
    <mergeCell ref="V143:AQ143"/>
    <mergeCell ref="AS143:CH143"/>
    <mergeCell ref="B131:AQ136"/>
    <mergeCell ref="C137:P137"/>
    <mergeCell ref="R137:AQ138"/>
    <mergeCell ref="B138:Q138"/>
    <mergeCell ref="B140:AQ142"/>
    <mergeCell ref="T124:U124"/>
    <mergeCell ref="AB125:AH125"/>
    <mergeCell ref="AJ125:AQ125"/>
    <mergeCell ref="W127:Y129"/>
    <mergeCell ref="AC127:AM129"/>
    <mergeCell ref="AO127:AQ129"/>
    <mergeCell ref="L128:U128"/>
    <mergeCell ref="T118:U118"/>
    <mergeCell ref="T119:U119"/>
    <mergeCell ref="AB119:AQ119"/>
    <mergeCell ref="T120:U120"/>
    <mergeCell ref="W120:Y122"/>
    <mergeCell ref="AB120:AQ120"/>
    <mergeCell ref="T121:U121"/>
    <mergeCell ref="T122:U122"/>
    <mergeCell ref="AB122:AH123"/>
    <mergeCell ref="AJ122:AQ123"/>
    <mergeCell ref="T123:U123"/>
    <mergeCell ref="T114:U114"/>
    <mergeCell ref="W114:Y115"/>
    <mergeCell ref="T115:U115"/>
    <mergeCell ref="AB116:AH117"/>
    <mergeCell ref="AJ116:AQ117"/>
    <mergeCell ref="AM108:AN109"/>
    <mergeCell ref="AO108:AQ109"/>
    <mergeCell ref="T109:U109"/>
    <mergeCell ref="T110:U110"/>
    <mergeCell ref="T111:U111"/>
    <mergeCell ref="AB111:AH112"/>
    <mergeCell ref="AJ111:AL112"/>
    <mergeCell ref="AM111:AN112"/>
    <mergeCell ref="AO111:AQ112"/>
    <mergeCell ref="T107:U107"/>
    <mergeCell ref="W107:Y109"/>
    <mergeCell ref="T108:U108"/>
    <mergeCell ref="AB108:AH109"/>
    <mergeCell ref="AJ108:AL109"/>
    <mergeCell ref="T105:U105"/>
    <mergeCell ref="AB105:AH106"/>
    <mergeCell ref="AJ105:AL106"/>
    <mergeCell ref="AM105:AN106"/>
    <mergeCell ref="AO105:AQ106"/>
    <mergeCell ref="T106:U106"/>
    <mergeCell ref="T102:U102"/>
    <mergeCell ref="AB102:AH103"/>
    <mergeCell ref="AJ102:AL103"/>
    <mergeCell ref="AM102:AN103"/>
    <mergeCell ref="AO102:AQ103"/>
    <mergeCell ref="AB96:AH97"/>
    <mergeCell ref="AJ96:AQ97"/>
    <mergeCell ref="T98:U98"/>
    <mergeCell ref="T99:U99"/>
    <mergeCell ref="W99:Y101"/>
    <mergeCell ref="AB99:AH100"/>
    <mergeCell ref="AJ99:AL100"/>
    <mergeCell ref="AM99:AN100"/>
    <mergeCell ref="AO99:AQ100"/>
    <mergeCell ref="T100:U100"/>
    <mergeCell ref="T101:U101"/>
    <mergeCell ref="AB91:AH92"/>
    <mergeCell ref="AJ91:AQ92"/>
    <mergeCell ref="T93:U93"/>
    <mergeCell ref="W93:Y95"/>
    <mergeCell ref="T94:U94"/>
    <mergeCell ref="AB94:AQ94"/>
    <mergeCell ref="T95:U95"/>
    <mergeCell ref="A80:AQ85"/>
    <mergeCell ref="AB87:AQ88"/>
    <mergeCell ref="T88:U88"/>
    <mergeCell ref="W88:Y90"/>
    <mergeCell ref="T89:U89"/>
    <mergeCell ref="T90:U90"/>
    <mergeCell ref="W74:AE75"/>
    <mergeCell ref="AG74:AK75"/>
    <mergeCell ref="AM74:AQ75"/>
    <mergeCell ref="AR76:BA77"/>
    <mergeCell ref="A78:AQ79"/>
    <mergeCell ref="A72:I73"/>
    <mergeCell ref="K72:O73"/>
    <mergeCell ref="Q72:U73"/>
    <mergeCell ref="A74:I75"/>
    <mergeCell ref="K74:O75"/>
    <mergeCell ref="Q74:U75"/>
    <mergeCell ref="AM68:AQ69"/>
    <mergeCell ref="A70:I71"/>
    <mergeCell ref="K70:O71"/>
    <mergeCell ref="Q70:U71"/>
    <mergeCell ref="W70:AE71"/>
    <mergeCell ref="AG70:AK71"/>
    <mergeCell ref="AM70:AQ71"/>
    <mergeCell ref="A68:I69"/>
    <mergeCell ref="K68:O69"/>
    <mergeCell ref="Q68:U69"/>
    <mergeCell ref="W68:AE69"/>
    <mergeCell ref="AG68:AK69"/>
    <mergeCell ref="BJ64:BK65"/>
    <mergeCell ref="K66:O66"/>
    <mergeCell ref="Q66:U66"/>
    <mergeCell ref="AG66:AK66"/>
    <mergeCell ref="AM66:AQ66"/>
    <mergeCell ref="A62:K63"/>
    <mergeCell ref="M62:Q63"/>
    <mergeCell ref="AA62:AB63"/>
    <mergeCell ref="AD62:AH63"/>
    <mergeCell ref="AJ62:AQ63"/>
    <mergeCell ref="A64:AQ65"/>
    <mergeCell ref="BH58:BJ58"/>
    <mergeCell ref="A59:K60"/>
    <mergeCell ref="M59:Q60"/>
    <mergeCell ref="W59:Y61"/>
    <mergeCell ref="AB59:AH60"/>
    <mergeCell ref="AJ59:AQ60"/>
    <mergeCell ref="T60:U61"/>
    <mergeCell ref="X56:Y57"/>
    <mergeCell ref="AB56:AH57"/>
    <mergeCell ref="AJ56:AQ57"/>
    <mergeCell ref="T58:U59"/>
    <mergeCell ref="W58:Y58"/>
    <mergeCell ref="A56:K57"/>
    <mergeCell ref="P56:Q57"/>
    <mergeCell ref="R56:S57"/>
    <mergeCell ref="T56:U57"/>
    <mergeCell ref="V56:W57"/>
    <mergeCell ref="AS59:AV59"/>
    <mergeCell ref="BL46:BN54"/>
    <mergeCell ref="T47:U47"/>
    <mergeCell ref="T48:U48"/>
    <mergeCell ref="AB48:AH49"/>
    <mergeCell ref="AJ48:AQ49"/>
    <mergeCell ref="T52:U53"/>
    <mergeCell ref="W52:Y54"/>
    <mergeCell ref="AB53:AQ54"/>
    <mergeCell ref="T54:U55"/>
    <mergeCell ref="BH34:BM35"/>
    <mergeCell ref="AB37:AH38"/>
    <mergeCell ref="AJ37:AL38"/>
    <mergeCell ref="AM37:AN38"/>
    <mergeCell ref="AO37:AQ38"/>
    <mergeCell ref="AO31:AQ32"/>
    <mergeCell ref="T32:U32"/>
    <mergeCell ref="AB34:AH35"/>
    <mergeCell ref="AJ34:AL35"/>
    <mergeCell ref="AM34:AN35"/>
    <mergeCell ref="AO34:AQ35"/>
    <mergeCell ref="T31:U31"/>
    <mergeCell ref="W31:Y33"/>
    <mergeCell ref="AB31:AH32"/>
    <mergeCell ref="AJ31:AL32"/>
    <mergeCell ref="AM31:AN32"/>
    <mergeCell ref="BH10:BJ17"/>
    <mergeCell ref="AY11:BA12"/>
    <mergeCell ref="T12:U12"/>
    <mergeCell ref="W12:Y14"/>
    <mergeCell ref="AB13:AQ14"/>
    <mergeCell ref="AR14:AR22"/>
    <mergeCell ref="W17:Y19"/>
    <mergeCell ref="AB17:AH18"/>
    <mergeCell ref="AJ17:AQ18"/>
    <mergeCell ref="T18:U18"/>
    <mergeCell ref="T19:U19"/>
    <mergeCell ref="AB20:AQ20"/>
    <mergeCell ref="T22:U22"/>
    <mergeCell ref="AB22:AH23"/>
    <mergeCell ref="AJ22:AQ23"/>
    <mergeCell ref="W23:Y25"/>
    <mergeCell ref="T23:U23"/>
    <mergeCell ref="T24:U24"/>
    <mergeCell ref="T25:U25"/>
    <mergeCell ref="AB25:AH26"/>
    <mergeCell ref="AJ25:AL26"/>
    <mergeCell ref="AM25:AN26"/>
    <mergeCell ref="AO25:AQ26"/>
    <mergeCell ref="T26:U26"/>
    <mergeCell ref="G1:R1"/>
    <mergeCell ref="AS1:BA7"/>
    <mergeCell ref="G7:R7"/>
    <mergeCell ref="BC7:BF8"/>
    <mergeCell ref="G8:R8"/>
    <mergeCell ref="T13:U13"/>
    <mergeCell ref="T14:U14"/>
    <mergeCell ref="T17:U17"/>
    <mergeCell ref="G9:R9"/>
    <mergeCell ref="AY9:BA9"/>
    <mergeCell ref="U1:AQ9"/>
    <mergeCell ref="AB28:AH29"/>
    <mergeCell ref="AJ28:AL29"/>
    <mergeCell ref="AM28:AN29"/>
    <mergeCell ref="AO28:AQ29"/>
    <mergeCell ref="T29:U29"/>
    <mergeCell ref="AJ42:AQ43"/>
    <mergeCell ref="T43:U43"/>
    <mergeCell ref="T44:U44"/>
    <mergeCell ref="W44:Y46"/>
    <mergeCell ref="AB42:AH43"/>
    <mergeCell ref="AB45:AQ45"/>
    <mergeCell ref="AB46:AQ46"/>
    <mergeCell ref="B52:R54"/>
    <mergeCell ref="T30:U30"/>
    <mergeCell ref="T33:U33"/>
    <mergeCell ref="T34:U34"/>
    <mergeCell ref="T35:U35"/>
    <mergeCell ref="T38:U38"/>
    <mergeCell ref="T39:U39"/>
    <mergeCell ref="W38:Y39"/>
    <mergeCell ref="T42:U42"/>
    <mergeCell ref="T45:U45"/>
    <mergeCell ref="T46:U46"/>
  </mergeCells>
  <conditionalFormatting sqref="BT9:BT10 BX11:BX69">
    <cfRule type="cellIs" dxfId="1" priority="1" operator="equal">
      <formula>0</formula>
    </cfRule>
  </conditionalFormatting>
  <dataValidations count="2">
    <dataValidation type="list" allowBlank="1" showInputMessage="1" showErrorMessage="1" sqref="G8:R8">
      <formula1>$BB$18:$BB$23</formula1>
    </dataValidation>
    <dataValidation type="list" allowBlank="1" showInputMessage="1" showErrorMessage="1" sqref="G7:R7">
      <formula1>$G$2:$G$6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opLeftCell="XFD1" workbookViewId="0">
      <selection activeCell="B1" sqref="A1:XFD1048576"/>
    </sheetView>
  </sheetViews>
  <sheetFormatPr defaultColWidth="0" defaultRowHeight="15" x14ac:dyDescent="0.25"/>
  <cols>
    <col min="1" max="1" width="28" hidden="1" customWidth="1"/>
    <col min="2" max="2" width="9.7109375" hidden="1" customWidth="1"/>
    <col min="3" max="3" width="13.28515625" hidden="1" customWidth="1"/>
    <col min="4" max="9" width="9.140625" hidden="1" customWidth="1"/>
    <col min="10" max="10" width="10.7109375" hidden="1" customWidth="1"/>
    <col min="11" max="11" width="9.140625" hidden="1" customWidth="1"/>
    <col min="12" max="16" width="12" hidden="1" customWidth="1"/>
    <col min="17" max="18" width="5.5703125" hidden="1" customWidth="1"/>
    <col min="19" max="20" width="25.140625" hidden="1" customWidth="1"/>
    <col min="21" max="16384" width="9.140625" hidden="1"/>
  </cols>
  <sheetData>
    <row r="1" spans="1:20" x14ac:dyDescent="0.25">
      <c r="J1" s="2" t="s">
        <v>200</v>
      </c>
      <c r="K1" s="2" t="s">
        <v>201</v>
      </c>
      <c r="L1" s="2" t="s">
        <v>199</v>
      </c>
      <c r="M1" s="2"/>
      <c r="N1" s="2" t="s">
        <v>93</v>
      </c>
      <c r="O1" s="2" t="s">
        <v>192</v>
      </c>
      <c r="P1" s="2" t="s">
        <v>193</v>
      </c>
    </row>
    <row r="2" spans="1:20" x14ac:dyDescent="0.25">
      <c r="B2" s="2" t="s">
        <v>195</v>
      </c>
      <c r="D2" s="74" t="s">
        <v>196</v>
      </c>
      <c r="J2" s="75">
        <v>0</v>
      </c>
      <c r="K2" s="75">
        <v>40.99</v>
      </c>
      <c r="L2" s="54">
        <v>1.4</v>
      </c>
      <c r="M2" s="75">
        <f>IF($H$7&lt;=K2,$H$7,0)</f>
        <v>0</v>
      </c>
      <c r="N2" s="75">
        <f>J3*L3</f>
        <v>53.300000000000004</v>
      </c>
      <c r="O2" s="75">
        <f>M2*L2</f>
        <v>0</v>
      </c>
      <c r="P2" s="76">
        <f>IF(O2&gt;N2,N2,O2)</f>
        <v>0</v>
      </c>
      <c r="Q2" s="82" t="s">
        <v>212</v>
      </c>
      <c r="R2" s="82" t="s">
        <v>219</v>
      </c>
      <c r="S2" t="str">
        <f>IF(O2&lt;&gt;0,Q2,"")</f>
        <v/>
      </c>
      <c r="T2" t="str">
        <f>IF(O2&lt;&gt;0,R2,"")</f>
        <v/>
      </c>
    </row>
    <row r="3" spans="1:20" x14ac:dyDescent="0.25">
      <c r="J3" s="75">
        <v>41</v>
      </c>
      <c r="K3" s="75">
        <v>50.99</v>
      </c>
      <c r="L3" s="54">
        <v>1.3</v>
      </c>
      <c r="M3" s="75">
        <f t="shared" ref="M3:M8" si="0">IF(AND($H$7&gt;=J3,$H$7&lt;=K3),$H$7,0)</f>
        <v>0</v>
      </c>
      <c r="N3" s="75">
        <f t="shared" ref="N3:N6" si="1">J4*L4</f>
        <v>61.199999999999996</v>
      </c>
      <c r="O3" s="75">
        <f t="shared" ref="O3:O9" si="2">M3*L3</f>
        <v>0</v>
      </c>
      <c r="P3" s="76">
        <f>IF(O3&gt;N3,N3,O3)</f>
        <v>0</v>
      </c>
      <c r="Q3" s="82" t="s">
        <v>211</v>
      </c>
      <c r="R3" s="82" t="s">
        <v>220</v>
      </c>
      <c r="S3" t="str">
        <f t="shared" ref="S3:S9" si="3">IF(O3&lt;&gt;0,Q3,"")</f>
        <v/>
      </c>
      <c r="T3" t="str">
        <f t="shared" ref="T3:T9" si="4">IF(O3&lt;&gt;0,R3,"")</f>
        <v/>
      </c>
    </row>
    <row r="4" spans="1:20" x14ac:dyDescent="0.25">
      <c r="A4" t="s">
        <v>182</v>
      </c>
      <c r="B4" s="55">
        <f>'Immissione Dati'!AJ17</f>
        <v>0</v>
      </c>
      <c r="C4" s="58" t="s">
        <v>194</v>
      </c>
      <c r="D4" s="57">
        <f>G20</f>
        <v>0</v>
      </c>
      <c r="F4" s="421" t="s">
        <v>198</v>
      </c>
      <c r="J4" s="75">
        <v>51</v>
      </c>
      <c r="K4" s="75">
        <v>60.99</v>
      </c>
      <c r="L4" s="54">
        <v>1.2</v>
      </c>
      <c r="M4" s="75">
        <f t="shared" si="0"/>
        <v>0</v>
      </c>
      <c r="N4" s="75">
        <f t="shared" si="1"/>
        <v>67.100000000000009</v>
      </c>
      <c r="O4" s="75">
        <f t="shared" si="2"/>
        <v>0</v>
      </c>
      <c r="P4" s="76">
        <f>IF(O4&gt;N4,N4,O4)</f>
        <v>0</v>
      </c>
      <c r="Q4" s="82" t="s">
        <v>213</v>
      </c>
      <c r="R4" s="82" t="s">
        <v>221</v>
      </c>
      <c r="S4" t="str">
        <f t="shared" si="3"/>
        <v/>
      </c>
      <c r="T4" t="str">
        <f t="shared" si="4"/>
        <v/>
      </c>
    </row>
    <row r="5" spans="1:20" x14ac:dyDescent="0.25">
      <c r="F5" s="421"/>
      <c r="J5" s="75">
        <v>61</v>
      </c>
      <c r="K5" s="75">
        <v>70.989999999999995</v>
      </c>
      <c r="L5" s="54">
        <v>1.1000000000000001</v>
      </c>
      <c r="M5" s="75">
        <f t="shared" si="0"/>
        <v>0</v>
      </c>
      <c r="N5" s="75">
        <f t="shared" si="1"/>
        <v>74.55</v>
      </c>
      <c r="O5" s="75">
        <f t="shared" si="2"/>
        <v>0</v>
      </c>
      <c r="P5" s="76">
        <f>IF(O5&gt;N5,N5,O5)</f>
        <v>0</v>
      </c>
      <c r="Q5" s="82" t="s">
        <v>214</v>
      </c>
      <c r="R5" s="82" t="s">
        <v>222</v>
      </c>
      <c r="S5" t="str">
        <f t="shared" si="3"/>
        <v/>
      </c>
      <c r="T5" t="str">
        <f t="shared" si="4"/>
        <v/>
      </c>
    </row>
    <row r="6" spans="1:20" x14ac:dyDescent="0.25">
      <c r="A6" t="s">
        <v>183</v>
      </c>
      <c r="B6" s="53">
        <f>'Immissione Dati'!AJ25</f>
        <v>0</v>
      </c>
      <c r="C6" s="54">
        <v>0.5</v>
      </c>
      <c r="D6" s="57">
        <f>B6*C6</f>
        <v>0</v>
      </c>
      <c r="F6" s="421"/>
      <c r="J6" s="75">
        <v>71</v>
      </c>
      <c r="K6" s="75">
        <v>80.989999999999995</v>
      </c>
      <c r="L6" s="54">
        <v>1.05</v>
      </c>
      <c r="M6" s="75">
        <f t="shared" si="0"/>
        <v>0</v>
      </c>
      <c r="N6" s="75">
        <f t="shared" si="1"/>
        <v>81</v>
      </c>
      <c r="O6" s="75">
        <f t="shared" si="2"/>
        <v>0</v>
      </c>
      <c r="P6" s="76">
        <f>IF(O6&gt;N6,N6,O6)</f>
        <v>0</v>
      </c>
      <c r="Q6" s="82" t="s">
        <v>215</v>
      </c>
      <c r="R6" s="82" t="s">
        <v>223</v>
      </c>
      <c r="S6" t="str">
        <f t="shared" si="3"/>
        <v/>
      </c>
      <c r="T6" t="str">
        <f t="shared" si="4"/>
        <v/>
      </c>
    </row>
    <row r="7" spans="1:20" x14ac:dyDescent="0.25">
      <c r="A7" t="s">
        <v>184</v>
      </c>
      <c r="B7" s="53">
        <f>'Immissione Dati'!AJ28</f>
        <v>0</v>
      </c>
      <c r="C7" s="54">
        <v>0.2</v>
      </c>
      <c r="D7" s="57">
        <f>B7*C7</f>
        <v>0</v>
      </c>
      <c r="F7" s="421"/>
      <c r="H7" s="57">
        <f>SUM(D4:D10)</f>
        <v>0</v>
      </c>
      <c r="J7" s="75">
        <v>81</v>
      </c>
      <c r="K7" s="75">
        <v>90.99</v>
      </c>
      <c r="L7" s="54">
        <v>1</v>
      </c>
      <c r="M7" s="75">
        <f t="shared" si="0"/>
        <v>0</v>
      </c>
      <c r="O7" s="75">
        <f t="shared" si="2"/>
        <v>0</v>
      </c>
      <c r="P7" s="76">
        <f>O7</f>
        <v>0</v>
      </c>
      <c r="Q7" s="82" t="s">
        <v>216</v>
      </c>
      <c r="R7" s="82" t="s">
        <v>224</v>
      </c>
      <c r="S7" t="str">
        <f t="shared" si="3"/>
        <v/>
      </c>
      <c r="T7" t="str">
        <f t="shared" si="4"/>
        <v/>
      </c>
    </row>
    <row r="8" spans="1:20" x14ac:dyDescent="0.25">
      <c r="A8" t="s">
        <v>48</v>
      </c>
      <c r="B8" s="53">
        <f>'Immissione Dati'!AJ31</f>
        <v>0</v>
      </c>
      <c r="C8" s="54">
        <v>0.25</v>
      </c>
      <c r="D8" s="57">
        <f>B8*C8</f>
        <v>0</v>
      </c>
      <c r="F8" s="421"/>
      <c r="H8" s="2" t="s">
        <v>62</v>
      </c>
      <c r="J8" s="75">
        <v>91</v>
      </c>
      <c r="K8" s="75">
        <v>120</v>
      </c>
      <c r="L8" s="54">
        <v>0.95</v>
      </c>
      <c r="M8" s="75">
        <f t="shared" si="0"/>
        <v>0</v>
      </c>
      <c r="N8" s="75">
        <f>K7*L7</f>
        <v>90.99</v>
      </c>
      <c r="O8" s="75">
        <f t="shared" si="2"/>
        <v>0</v>
      </c>
      <c r="P8" s="76">
        <f>IF(AND(O8&gt;0,O8&lt;N8),N8,O8)</f>
        <v>0</v>
      </c>
      <c r="Q8" s="82" t="s">
        <v>217</v>
      </c>
      <c r="R8" s="82" t="s">
        <v>225</v>
      </c>
      <c r="S8" t="str">
        <f t="shared" si="3"/>
        <v/>
      </c>
      <c r="T8" t="str">
        <f t="shared" si="4"/>
        <v/>
      </c>
    </row>
    <row r="9" spans="1:20" x14ac:dyDescent="0.25">
      <c r="A9" t="s">
        <v>53</v>
      </c>
      <c r="B9" s="53">
        <f>'Immissione Dati'!AJ34</f>
        <v>0</v>
      </c>
      <c r="C9" s="54">
        <v>0.15</v>
      </c>
      <c r="D9" s="57">
        <f>B9*C9</f>
        <v>0</v>
      </c>
      <c r="F9" s="421"/>
      <c r="J9" s="75">
        <v>120.01</v>
      </c>
      <c r="K9" s="75"/>
      <c r="L9" s="54">
        <v>0.9</v>
      </c>
      <c r="M9" s="75">
        <f>IF($H$7&gt;=J9,$H$7,0)</f>
        <v>0</v>
      </c>
      <c r="N9" s="75">
        <f>K8*L8</f>
        <v>114</v>
      </c>
      <c r="O9" s="75">
        <f t="shared" si="2"/>
        <v>0</v>
      </c>
      <c r="P9" s="76">
        <f>IF(AND(O9&gt;0,O9&lt;N9),N9,O9)</f>
        <v>0</v>
      </c>
      <c r="Q9" s="82" t="s">
        <v>218</v>
      </c>
      <c r="R9" s="82" t="s">
        <v>226</v>
      </c>
      <c r="S9" t="str">
        <f t="shared" si="3"/>
        <v/>
      </c>
      <c r="T9" t="str">
        <f t="shared" si="4"/>
        <v/>
      </c>
    </row>
    <row r="10" spans="1:20" x14ac:dyDescent="0.25">
      <c r="A10" t="s">
        <v>185</v>
      </c>
      <c r="B10" s="53">
        <f>'Immissione Dati'!AJ37</f>
        <v>0</v>
      </c>
      <c r="C10" s="54">
        <v>0.1</v>
      </c>
      <c r="D10" s="57">
        <f>B10*C10</f>
        <v>0</v>
      </c>
      <c r="F10" s="421"/>
    </row>
    <row r="11" spans="1:20" x14ac:dyDescent="0.25">
      <c r="I11" s="2"/>
      <c r="O11" s="1" t="s">
        <v>197</v>
      </c>
      <c r="P11" s="57">
        <f>SUM(P2:P9)</f>
        <v>0</v>
      </c>
      <c r="S11" t="str">
        <f>CONCATENATE(S2,S3,S4,S5,S6,S7,S8,S9)</f>
        <v/>
      </c>
      <c r="T11" t="str">
        <f>CONCATENATE(T2,T3,T4,T5,T6,T7,T8,T9)</f>
        <v/>
      </c>
    </row>
    <row r="13" spans="1:20" ht="15.75" thickBot="1" x14ac:dyDescent="0.3"/>
    <row r="14" spans="1:20" x14ac:dyDescent="0.25">
      <c r="A14" s="59"/>
      <c r="B14" s="60"/>
      <c r="C14" s="60"/>
      <c r="D14" s="60"/>
      <c r="E14" s="60"/>
      <c r="F14" s="60"/>
      <c r="G14" s="60"/>
      <c r="H14" s="61"/>
      <c r="J14" s="77" t="str">
        <f>'Immissione Dati'!BL9</f>
        <v>TRENTO</v>
      </c>
      <c r="L14" s="2" t="s">
        <v>107</v>
      </c>
      <c r="M14" s="2" t="s">
        <v>109</v>
      </c>
      <c r="N14" s="2" t="s">
        <v>124</v>
      </c>
      <c r="O14" s="2" t="s">
        <v>121</v>
      </c>
      <c r="P14" s="2" t="s">
        <v>118</v>
      </c>
    </row>
    <row r="15" spans="1:20" x14ac:dyDescent="0.25">
      <c r="A15" s="62" t="s">
        <v>186</v>
      </c>
      <c r="B15" s="55">
        <f>B4</f>
        <v>0</v>
      </c>
      <c r="C15" s="63" t="s">
        <v>189</v>
      </c>
      <c r="D15" s="63" t="s">
        <v>190</v>
      </c>
      <c r="E15" s="63" t="s">
        <v>93</v>
      </c>
      <c r="F15" s="63" t="s">
        <v>192</v>
      </c>
      <c r="G15" s="56" t="s">
        <v>193</v>
      </c>
      <c r="H15" s="64"/>
      <c r="L15" s="2">
        <f>IF(L14=$J$14,1,0)</f>
        <v>1</v>
      </c>
      <c r="M15" s="2">
        <f t="shared" ref="M15:P15" si="5">IF(M14=$J$14,1,0)</f>
        <v>0</v>
      </c>
      <c r="N15" s="2">
        <f t="shared" si="5"/>
        <v>0</v>
      </c>
      <c r="O15" s="2">
        <f t="shared" si="5"/>
        <v>0</v>
      </c>
      <c r="P15" s="2">
        <f t="shared" si="5"/>
        <v>0</v>
      </c>
    </row>
    <row r="16" spans="1:20" x14ac:dyDescent="0.25">
      <c r="A16" s="62"/>
      <c r="B16" s="65">
        <f>IF(B15&lt;=45.99,B15,0)</f>
        <v>0</v>
      </c>
      <c r="C16" s="63" t="s">
        <v>187</v>
      </c>
      <c r="D16" s="71">
        <v>0.2</v>
      </c>
      <c r="E16" s="72">
        <f>46*110/100</f>
        <v>50.6</v>
      </c>
      <c r="F16" s="65">
        <f>B16+(B16*D16)</f>
        <v>0</v>
      </c>
      <c r="G16" s="66">
        <f>IF(F16&gt;E16,E16,F16)</f>
        <v>0</v>
      </c>
      <c r="H16" s="64"/>
      <c r="L16" s="78">
        <v>45658</v>
      </c>
      <c r="M16" s="78">
        <v>44902</v>
      </c>
      <c r="N16" s="78">
        <v>44652</v>
      </c>
      <c r="O16" s="78">
        <v>44902</v>
      </c>
      <c r="P16" s="78">
        <v>44895</v>
      </c>
    </row>
    <row r="17" spans="1:16" x14ac:dyDescent="0.25">
      <c r="A17" s="62"/>
      <c r="B17" s="65">
        <f>IF(AND(B15&gt;=46,B15&lt;=69.99),B15,0)</f>
        <v>0</v>
      </c>
      <c r="C17" s="63" t="s">
        <v>191</v>
      </c>
      <c r="D17" s="71">
        <v>0.1</v>
      </c>
      <c r="E17" s="72">
        <v>70</v>
      </c>
      <c r="F17" s="65">
        <f>B17+(B17*D17)</f>
        <v>0</v>
      </c>
      <c r="G17" s="66">
        <f>IF(F17&gt;E17,E17,F17)</f>
        <v>0</v>
      </c>
      <c r="H17" s="64"/>
      <c r="J17" s="78">
        <f>MAXA(L17:P17)</f>
        <v>45658</v>
      </c>
      <c r="L17" s="78">
        <f>L16*L15</f>
        <v>45658</v>
      </c>
      <c r="M17" s="78">
        <f t="shared" ref="M17:P17" si="6">M16*M15</f>
        <v>0</v>
      </c>
      <c r="N17" s="78">
        <f t="shared" si="6"/>
        <v>0</v>
      </c>
      <c r="O17" s="78">
        <f t="shared" si="6"/>
        <v>0</v>
      </c>
      <c r="P17" s="78">
        <f t="shared" si="6"/>
        <v>0</v>
      </c>
    </row>
    <row r="18" spans="1:16" x14ac:dyDescent="0.25">
      <c r="A18" s="62"/>
      <c r="B18" s="65">
        <f>IF(B15&gt;=70,B15,0)</f>
        <v>0</v>
      </c>
      <c r="C18" s="63" t="s">
        <v>188</v>
      </c>
      <c r="D18" s="71">
        <v>0</v>
      </c>
      <c r="E18" s="72"/>
      <c r="F18" s="65">
        <f>B18+(B18*D18)</f>
        <v>0</v>
      </c>
      <c r="G18" s="66">
        <f>F18</f>
        <v>0</v>
      </c>
      <c r="H18" s="64"/>
    </row>
    <row r="19" spans="1:16" x14ac:dyDescent="0.25">
      <c r="A19" s="62"/>
      <c r="B19" s="67"/>
      <c r="C19" s="67"/>
      <c r="D19" s="67"/>
      <c r="E19" s="67"/>
      <c r="F19" s="67"/>
      <c r="G19" s="67"/>
      <c r="H19" s="64"/>
    </row>
    <row r="20" spans="1:16" x14ac:dyDescent="0.25">
      <c r="A20" s="62"/>
      <c r="B20" s="67"/>
      <c r="C20" s="67"/>
      <c r="D20" s="67"/>
      <c r="E20" s="67"/>
      <c r="F20" s="73" t="s">
        <v>197</v>
      </c>
      <c r="G20" s="57">
        <f>SUM(G16:G18)</f>
        <v>0</v>
      </c>
      <c r="H20" s="64"/>
    </row>
    <row r="21" spans="1:16" ht="15.75" thickBot="1" x14ac:dyDescent="0.3">
      <c r="A21" s="68"/>
      <c r="B21" s="69"/>
      <c r="C21" s="69"/>
      <c r="D21" s="69"/>
      <c r="E21" s="69"/>
      <c r="F21" s="69"/>
      <c r="G21" s="69"/>
      <c r="H21" s="70"/>
    </row>
  </sheetData>
  <sheetProtection algorithmName="SHA-512" hashValue="Y0vs2s4wYWJ0tjQO37B5PGgW4mXmbaTvsbFEug1pxc2oOW+t9O6l8xRauD8BRDI4BypaWPm4H+ErSkS5CkLSbA==" saltValue="WNvGi8Bya7xqu2gQNZLTgA==" spinCount="100000" sheet="1" objects="1" scenarios="1" selectLockedCells="1" selectUnlockedCells="1"/>
  <mergeCells count="1">
    <mergeCell ref="F4:F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opLeftCell="XFD1" workbookViewId="0">
      <selection sqref="A1:XFD1048576"/>
    </sheetView>
  </sheetViews>
  <sheetFormatPr defaultColWidth="0" defaultRowHeight="15" x14ac:dyDescent="0.25"/>
  <cols>
    <col min="1" max="1" width="18.5703125" style="1" hidden="1" customWidth="1"/>
    <col min="2" max="2" width="7.42578125" style="2" hidden="1" customWidth="1"/>
    <col min="3" max="8" width="10.28515625" style="2" hidden="1" customWidth="1"/>
    <col min="9" max="9" width="2.7109375" hidden="1" customWidth="1"/>
    <col min="10" max="10" width="17.5703125" hidden="1" customWidth="1"/>
    <col min="11" max="11" width="8.140625" hidden="1" customWidth="1"/>
    <col min="12" max="12" width="5.5703125" hidden="1" customWidth="1"/>
    <col min="13" max="18" width="7.42578125" hidden="1" customWidth="1"/>
    <col min="19" max="19" width="3" hidden="1" customWidth="1"/>
    <col min="20" max="21" width="10.85546875" hidden="1" customWidth="1"/>
    <col min="22" max="22" width="10.5703125" hidden="1" customWidth="1"/>
    <col min="23" max="25" width="5.28515625" hidden="1" customWidth="1"/>
    <col min="26" max="16384" width="9.140625" hidden="1"/>
  </cols>
  <sheetData>
    <row r="1" spans="1:25" ht="15.75" thickBot="1" x14ac:dyDescent="0.3">
      <c r="A1" s="427" t="str">
        <f>IF(SUM(T2:U2)=0,"ERRORE","")</f>
        <v/>
      </c>
      <c r="B1" s="428"/>
      <c r="C1" s="425" t="s">
        <v>0</v>
      </c>
      <c r="D1" s="426"/>
      <c r="E1" s="425" t="s">
        <v>1</v>
      </c>
      <c r="F1" s="426"/>
      <c r="G1" s="425" t="s">
        <v>2</v>
      </c>
      <c r="H1" s="426"/>
      <c r="J1" s="51" t="str">
        <f>'Immissione Dati'!BL9</f>
        <v>TRENTO</v>
      </c>
      <c r="K1" s="50" t="str">
        <f>'Immissione Dati'!BN9</f>
        <v>F</v>
      </c>
      <c r="M1" s="422" t="str">
        <f>'Immissione Dati'!BD64</f>
        <v>Terza</v>
      </c>
      <c r="N1" s="423"/>
      <c r="O1" s="423"/>
      <c r="P1" s="423"/>
      <c r="Q1" s="423"/>
      <c r="R1" s="424"/>
      <c r="T1" s="11" t="s">
        <v>18</v>
      </c>
      <c r="U1" s="12" t="s">
        <v>19</v>
      </c>
      <c r="W1" t="str">
        <f>IF(OR(J1="TRENTO",J1="ROVERETO"),"zonaA","")</f>
        <v>zonaA</v>
      </c>
    </row>
    <row r="2" spans="1:25" ht="15.75" thickBot="1" x14ac:dyDescent="0.3">
      <c r="A2" s="427"/>
      <c r="B2" s="428"/>
      <c r="C2" s="5" t="s">
        <v>3</v>
      </c>
      <c r="D2" s="6" t="s">
        <v>4</v>
      </c>
      <c r="E2" s="5" t="s">
        <v>3</v>
      </c>
      <c r="F2" s="6" t="s">
        <v>4</v>
      </c>
      <c r="G2" s="5" t="s">
        <v>3</v>
      </c>
      <c r="H2" s="6" t="s">
        <v>4</v>
      </c>
      <c r="J2" s="3" t="s">
        <v>5</v>
      </c>
      <c r="K2" s="3" t="s">
        <v>6</v>
      </c>
      <c r="L2" s="21" t="s">
        <v>20</v>
      </c>
      <c r="M2" s="4">
        <f>IF($M$1="Prima",1,0)</f>
        <v>0</v>
      </c>
      <c r="N2" s="4">
        <f t="shared" ref="N2" si="0">IF($M$1="Prima",1,0)</f>
        <v>0</v>
      </c>
      <c r="O2" s="4">
        <f>IF($M$1="Seconda",1,0)</f>
        <v>0</v>
      </c>
      <c r="P2" s="4">
        <f>IF($M$1="Seconda",1,0)</f>
        <v>0</v>
      </c>
      <c r="Q2" s="4">
        <f>IF($M$1="Terza",1,0)</f>
        <v>1</v>
      </c>
      <c r="R2" s="4">
        <f>IF($M$1="Terza",1,0)</f>
        <v>1</v>
      </c>
      <c r="T2" s="13">
        <f>SUM(M3:M28,O3:O28,Q3:Q28)</f>
        <v>3.12</v>
      </c>
      <c r="U2" s="14">
        <f>SUM(N3:N28,P3:P28,R3:R28)</f>
        <v>5.72</v>
      </c>
    </row>
    <row r="3" spans="1:25" x14ac:dyDescent="0.25">
      <c r="A3" s="1" t="s">
        <v>7</v>
      </c>
      <c r="B3" s="2" t="s">
        <v>12</v>
      </c>
      <c r="C3" s="7">
        <v>6.24</v>
      </c>
      <c r="D3" s="8">
        <v>11.96</v>
      </c>
      <c r="E3" s="7">
        <v>5.72</v>
      </c>
      <c r="F3" s="8">
        <v>10.4</v>
      </c>
      <c r="G3" s="7">
        <v>5.2</v>
      </c>
      <c r="H3" s="8">
        <v>9.36</v>
      </c>
      <c r="J3" s="4">
        <f>IF($J$1=A3,1,0)</f>
        <v>1</v>
      </c>
      <c r="K3" s="4">
        <f>IF($K$1=B3,1,0)</f>
        <v>0</v>
      </c>
      <c r="L3" s="4">
        <f>J3*K3</f>
        <v>0</v>
      </c>
      <c r="M3" s="15">
        <f t="shared" ref="M3:R3" si="1">(C3*$L3)*M$2</f>
        <v>0</v>
      </c>
      <c r="N3" s="16">
        <f t="shared" si="1"/>
        <v>0</v>
      </c>
      <c r="O3" s="15">
        <f t="shared" si="1"/>
        <v>0</v>
      </c>
      <c r="P3" s="16">
        <f t="shared" si="1"/>
        <v>0</v>
      </c>
      <c r="Q3" s="15">
        <f t="shared" si="1"/>
        <v>0</v>
      </c>
      <c r="R3" s="16">
        <f t="shared" si="1"/>
        <v>0</v>
      </c>
    </row>
    <row r="4" spans="1:25" x14ac:dyDescent="0.25">
      <c r="A4" s="1" t="s">
        <v>7</v>
      </c>
      <c r="B4" s="2" t="s">
        <v>13</v>
      </c>
      <c r="C4" s="7">
        <v>5.72</v>
      </c>
      <c r="D4" s="8">
        <v>11.44</v>
      </c>
      <c r="E4" s="7">
        <v>5.2</v>
      </c>
      <c r="F4" s="8">
        <v>9.8800000000000008</v>
      </c>
      <c r="G4" s="7">
        <v>4.16</v>
      </c>
      <c r="H4" s="8">
        <v>8.84</v>
      </c>
      <c r="J4" s="4">
        <f t="shared" ref="J4:J11" si="2">IF($J$1=A4,1,0)</f>
        <v>1</v>
      </c>
      <c r="K4" s="4">
        <f t="shared" ref="K4:K11" si="3">IF($K$1=B4,1,0)</f>
        <v>0</v>
      </c>
      <c r="L4" s="4">
        <f t="shared" ref="L4:L18" si="4">J4*K4</f>
        <v>0</v>
      </c>
      <c r="M4" s="17">
        <f t="shared" ref="M4:M11" si="5">(C4*$L4)*M$2</f>
        <v>0</v>
      </c>
      <c r="N4" s="18">
        <f t="shared" ref="N4:N11" si="6">(D4*$L4)*N$2</f>
        <v>0</v>
      </c>
      <c r="O4" s="17">
        <f t="shared" ref="O4:O11" si="7">(E4*$L4)*O$2</f>
        <v>0</v>
      </c>
      <c r="P4" s="18">
        <f t="shared" ref="P4:P11" si="8">(F4*$L4)*P$2</f>
        <v>0</v>
      </c>
      <c r="Q4" s="17">
        <f t="shared" ref="Q4:Q11" si="9">(G4*$L4)*Q$2</f>
        <v>0</v>
      </c>
      <c r="R4" s="18">
        <f t="shared" ref="R4:R11" si="10">(H4*$L4)*R$2</f>
        <v>0</v>
      </c>
    </row>
    <row r="5" spans="1:25" x14ac:dyDescent="0.25">
      <c r="A5" s="1" t="s">
        <v>7</v>
      </c>
      <c r="B5" s="2" t="s">
        <v>14</v>
      </c>
      <c r="C5" s="7">
        <v>5.2</v>
      </c>
      <c r="D5" s="8">
        <v>10.92</v>
      </c>
      <c r="E5" s="7">
        <v>4.68</v>
      </c>
      <c r="F5" s="8">
        <v>9.36</v>
      </c>
      <c r="G5" s="7">
        <v>4.16</v>
      </c>
      <c r="H5" s="8">
        <v>8.32</v>
      </c>
      <c r="J5" s="4">
        <f t="shared" si="2"/>
        <v>1</v>
      </c>
      <c r="K5" s="4">
        <f t="shared" si="3"/>
        <v>0</v>
      </c>
      <c r="L5" s="4">
        <f t="shared" si="4"/>
        <v>0</v>
      </c>
      <c r="M5" s="17">
        <f t="shared" si="5"/>
        <v>0</v>
      </c>
      <c r="N5" s="18">
        <f t="shared" si="6"/>
        <v>0</v>
      </c>
      <c r="O5" s="17">
        <f t="shared" si="7"/>
        <v>0</v>
      </c>
      <c r="P5" s="18">
        <f t="shared" si="8"/>
        <v>0</v>
      </c>
      <c r="Q5" s="17">
        <f t="shared" si="9"/>
        <v>0</v>
      </c>
      <c r="R5" s="18">
        <f t="shared" si="10"/>
        <v>0</v>
      </c>
    </row>
    <row r="6" spans="1:25" x14ac:dyDescent="0.25">
      <c r="A6" s="1" t="s">
        <v>7</v>
      </c>
      <c r="B6" s="2" t="s">
        <v>15</v>
      </c>
      <c r="C6" s="7">
        <v>5.2</v>
      </c>
      <c r="D6" s="8">
        <v>9.8800000000000008</v>
      </c>
      <c r="E6" s="7">
        <v>4.16</v>
      </c>
      <c r="F6" s="8">
        <v>8.84</v>
      </c>
      <c r="G6" s="7">
        <v>3.64</v>
      </c>
      <c r="H6" s="8">
        <v>7.8</v>
      </c>
      <c r="J6" s="4">
        <f t="shared" si="2"/>
        <v>1</v>
      </c>
      <c r="K6" s="4">
        <f t="shared" si="3"/>
        <v>0</v>
      </c>
      <c r="L6" s="4">
        <f t="shared" si="4"/>
        <v>0</v>
      </c>
      <c r="M6" s="17">
        <f t="shared" si="5"/>
        <v>0</v>
      </c>
      <c r="N6" s="18">
        <f t="shared" si="6"/>
        <v>0</v>
      </c>
      <c r="O6" s="17">
        <f t="shared" si="7"/>
        <v>0</v>
      </c>
      <c r="P6" s="18">
        <f t="shared" si="8"/>
        <v>0</v>
      </c>
      <c r="Q6" s="17">
        <f t="shared" si="9"/>
        <v>0</v>
      </c>
      <c r="R6" s="18">
        <f t="shared" si="10"/>
        <v>0</v>
      </c>
    </row>
    <row r="7" spans="1:25" x14ac:dyDescent="0.25">
      <c r="A7" s="1" t="s">
        <v>7</v>
      </c>
      <c r="B7" s="2" t="s">
        <v>16</v>
      </c>
      <c r="C7" s="7">
        <v>4.68</v>
      </c>
      <c r="D7" s="8">
        <v>8.84</v>
      </c>
      <c r="E7" s="7">
        <v>4.16</v>
      </c>
      <c r="F7" s="8">
        <v>7.28</v>
      </c>
      <c r="G7" s="7">
        <v>3.12</v>
      </c>
      <c r="H7" s="8">
        <v>6.24</v>
      </c>
      <c r="J7" s="4">
        <f t="shared" si="2"/>
        <v>1</v>
      </c>
      <c r="K7" s="4">
        <f t="shared" si="3"/>
        <v>0</v>
      </c>
      <c r="L7" s="4">
        <f t="shared" si="4"/>
        <v>0</v>
      </c>
      <c r="M7" s="17">
        <f t="shared" si="5"/>
        <v>0</v>
      </c>
      <c r="N7" s="18">
        <f t="shared" si="6"/>
        <v>0</v>
      </c>
      <c r="O7" s="17">
        <f t="shared" si="7"/>
        <v>0</v>
      </c>
      <c r="P7" s="18">
        <f t="shared" si="8"/>
        <v>0</v>
      </c>
      <c r="Q7" s="17">
        <f t="shared" si="9"/>
        <v>0</v>
      </c>
      <c r="R7" s="18">
        <f t="shared" si="10"/>
        <v>0</v>
      </c>
    </row>
    <row r="8" spans="1:25" x14ac:dyDescent="0.25">
      <c r="A8" s="1" t="s">
        <v>7</v>
      </c>
      <c r="B8" s="2" t="s">
        <v>17</v>
      </c>
      <c r="C8" s="7">
        <v>4.16</v>
      </c>
      <c r="D8" s="8">
        <v>7.8</v>
      </c>
      <c r="E8" s="7">
        <v>3.64</v>
      </c>
      <c r="F8" s="8">
        <v>6.76</v>
      </c>
      <c r="G8" s="7">
        <v>3.12</v>
      </c>
      <c r="H8" s="8">
        <v>5.72</v>
      </c>
      <c r="J8" s="4">
        <f t="shared" si="2"/>
        <v>1</v>
      </c>
      <c r="K8" s="4">
        <f t="shared" si="3"/>
        <v>1</v>
      </c>
      <c r="L8" s="4">
        <f t="shared" si="4"/>
        <v>1</v>
      </c>
      <c r="M8" s="17">
        <f t="shared" si="5"/>
        <v>0</v>
      </c>
      <c r="N8" s="18">
        <f t="shared" si="6"/>
        <v>0</v>
      </c>
      <c r="O8" s="17">
        <f t="shared" si="7"/>
        <v>0</v>
      </c>
      <c r="P8" s="18">
        <f t="shared" si="8"/>
        <v>0</v>
      </c>
      <c r="Q8" s="17">
        <f t="shared" si="9"/>
        <v>3.12</v>
      </c>
      <c r="R8" s="18">
        <f t="shared" si="10"/>
        <v>5.72</v>
      </c>
      <c r="T8" s="49">
        <f>T2</f>
        <v>3.12</v>
      </c>
      <c r="U8" s="49">
        <f>U2</f>
        <v>5.72</v>
      </c>
      <c r="V8" s="48" t="s">
        <v>134</v>
      </c>
      <c r="W8" s="4"/>
      <c r="X8" s="4"/>
      <c r="Y8" s="4"/>
    </row>
    <row r="9" spans="1:25" x14ac:dyDescent="0.25">
      <c r="A9" s="1" t="s">
        <v>8</v>
      </c>
      <c r="B9" s="2" t="s">
        <v>12</v>
      </c>
      <c r="C9" s="7">
        <v>6.8</v>
      </c>
      <c r="D9" s="8">
        <v>10</v>
      </c>
      <c r="E9" s="7">
        <v>6.4</v>
      </c>
      <c r="F9" s="8">
        <v>9</v>
      </c>
      <c r="G9" s="7">
        <v>5.6</v>
      </c>
      <c r="H9" s="8">
        <v>8</v>
      </c>
      <c r="J9" s="4">
        <f t="shared" si="2"/>
        <v>0</v>
      </c>
      <c r="K9" s="4">
        <f t="shared" si="3"/>
        <v>0</v>
      </c>
      <c r="L9" s="4">
        <f t="shared" si="4"/>
        <v>0</v>
      </c>
      <c r="M9" s="17">
        <f t="shared" si="5"/>
        <v>0</v>
      </c>
      <c r="N9" s="18">
        <f t="shared" si="6"/>
        <v>0</v>
      </c>
      <c r="O9" s="17">
        <f t="shared" si="7"/>
        <v>0</v>
      </c>
      <c r="P9" s="18">
        <f t="shared" si="8"/>
        <v>0</v>
      </c>
      <c r="Q9" s="17">
        <f t="shared" si="9"/>
        <v>0</v>
      </c>
      <c r="R9" s="18">
        <f t="shared" si="10"/>
        <v>0</v>
      </c>
      <c r="T9" s="49">
        <f>$T$8*$W9/100</f>
        <v>3.1823999999999999</v>
      </c>
      <c r="U9" s="49">
        <f>$U$8*$W9/100</f>
        <v>5.8343999999999996</v>
      </c>
      <c r="V9" s="48" t="s">
        <v>137</v>
      </c>
      <c r="W9" s="52">
        <v>102</v>
      </c>
      <c r="X9" s="4"/>
      <c r="Y9" s="4"/>
    </row>
    <row r="10" spans="1:25" x14ac:dyDescent="0.25">
      <c r="A10" s="1" t="s">
        <v>8</v>
      </c>
      <c r="B10" s="2" t="s">
        <v>13</v>
      </c>
      <c r="C10" s="7">
        <v>6</v>
      </c>
      <c r="D10" s="8">
        <v>9</v>
      </c>
      <c r="E10" s="7">
        <v>5.2</v>
      </c>
      <c r="F10" s="8">
        <v>8</v>
      </c>
      <c r="G10" s="7">
        <v>4.4000000000000004</v>
      </c>
      <c r="H10" s="8">
        <v>7</v>
      </c>
      <c r="J10" s="4">
        <f t="shared" si="2"/>
        <v>0</v>
      </c>
      <c r="K10" s="4">
        <f t="shared" si="3"/>
        <v>0</v>
      </c>
      <c r="L10" s="4">
        <f t="shared" si="4"/>
        <v>0</v>
      </c>
      <c r="M10" s="17">
        <f t="shared" si="5"/>
        <v>0</v>
      </c>
      <c r="N10" s="18">
        <f t="shared" si="6"/>
        <v>0</v>
      </c>
      <c r="O10" s="17">
        <f t="shared" si="7"/>
        <v>0</v>
      </c>
      <c r="P10" s="18">
        <f t="shared" si="8"/>
        <v>0</v>
      </c>
      <c r="Q10" s="17">
        <f t="shared" si="9"/>
        <v>0</v>
      </c>
      <c r="R10" s="18">
        <f t="shared" si="10"/>
        <v>0</v>
      </c>
      <c r="T10" s="49">
        <f>$T$8*$W10/100</f>
        <v>3.2448000000000001</v>
      </c>
      <c r="U10" s="49">
        <f>$U$8*$W10/100</f>
        <v>5.9488000000000003</v>
      </c>
      <c r="V10" s="48" t="s">
        <v>140</v>
      </c>
      <c r="W10" s="52">
        <v>104</v>
      </c>
      <c r="X10" s="4"/>
      <c r="Y10" s="4"/>
    </row>
    <row r="11" spans="1:25" x14ac:dyDescent="0.25">
      <c r="A11" s="1" t="s">
        <v>8</v>
      </c>
      <c r="B11" s="2" t="s">
        <v>14</v>
      </c>
      <c r="C11" s="7">
        <v>5.2</v>
      </c>
      <c r="D11" s="8">
        <v>7</v>
      </c>
      <c r="E11" s="7">
        <v>4.4000000000000004</v>
      </c>
      <c r="F11" s="8">
        <v>6</v>
      </c>
      <c r="G11" s="7">
        <v>3.6</v>
      </c>
      <c r="H11" s="8">
        <v>5</v>
      </c>
      <c r="J11" s="4">
        <f t="shared" si="2"/>
        <v>0</v>
      </c>
      <c r="K11" s="4">
        <f t="shared" si="3"/>
        <v>0</v>
      </c>
      <c r="L11" s="4">
        <f t="shared" si="4"/>
        <v>0</v>
      </c>
      <c r="M11" s="17">
        <f t="shared" si="5"/>
        <v>0</v>
      </c>
      <c r="N11" s="18">
        <f t="shared" si="6"/>
        <v>0</v>
      </c>
      <c r="O11" s="17">
        <f t="shared" si="7"/>
        <v>0</v>
      </c>
      <c r="P11" s="18">
        <f t="shared" si="8"/>
        <v>0</v>
      </c>
      <c r="Q11" s="17">
        <f t="shared" si="9"/>
        <v>0</v>
      </c>
      <c r="R11" s="18">
        <f t="shared" si="10"/>
        <v>0</v>
      </c>
      <c r="T11" s="49">
        <f>$T$8*$W11/100</f>
        <v>3.3072000000000004</v>
      </c>
      <c r="U11" s="49">
        <f>$U$8*$W11/100</f>
        <v>6.0631999999999993</v>
      </c>
      <c r="V11" s="48" t="s">
        <v>143</v>
      </c>
      <c r="W11" s="52">
        <v>106</v>
      </c>
      <c r="X11" s="4"/>
      <c r="Y11" s="4"/>
    </row>
    <row r="12" spans="1:25" x14ac:dyDescent="0.25">
      <c r="A12" s="1" t="s">
        <v>9</v>
      </c>
      <c r="B12" s="2" t="s">
        <v>12</v>
      </c>
      <c r="C12" s="7">
        <v>6.35</v>
      </c>
      <c r="D12" s="8">
        <v>10.92</v>
      </c>
      <c r="E12" s="7">
        <v>4.84</v>
      </c>
      <c r="F12" s="8">
        <v>10.29</v>
      </c>
      <c r="G12" s="7">
        <v>4</v>
      </c>
      <c r="H12" s="8">
        <v>8.18</v>
      </c>
      <c r="J12" s="4">
        <f t="shared" ref="J12:J18" si="11">IF($J$1=A12,1,0)</f>
        <v>0</v>
      </c>
      <c r="K12" s="4">
        <f t="shared" ref="K12:K18" si="12">IF($K$1=B12,1,0)</f>
        <v>0</v>
      </c>
      <c r="L12" s="4">
        <f t="shared" si="4"/>
        <v>0</v>
      </c>
      <c r="M12" s="17">
        <f t="shared" ref="M12:R18" si="13">(C12*$L12)*M$2</f>
        <v>0</v>
      </c>
      <c r="N12" s="18">
        <f t="shared" si="13"/>
        <v>0</v>
      </c>
      <c r="O12" s="17">
        <f t="shared" si="13"/>
        <v>0</v>
      </c>
      <c r="P12" s="18">
        <f t="shared" si="13"/>
        <v>0</v>
      </c>
      <c r="Q12" s="17">
        <f t="shared" si="13"/>
        <v>0</v>
      </c>
      <c r="R12" s="18">
        <f t="shared" si="13"/>
        <v>0</v>
      </c>
      <c r="T12" s="49">
        <f>$T$8*$W12/100</f>
        <v>3.7440000000000002</v>
      </c>
      <c r="U12" s="49">
        <f>$U$8*$W12/100</f>
        <v>6.8639999999999999</v>
      </c>
      <c r="V12" s="48" t="s">
        <v>181</v>
      </c>
      <c r="W12" s="79">
        <f>IF($W$1="zonaA",X12,130)</f>
        <v>120</v>
      </c>
      <c r="X12" s="4">
        <f>IF(AND($W$1="zonaA",$K$1="A"),115,120)</f>
        <v>120</v>
      </c>
      <c r="Y12" s="4"/>
    </row>
    <row r="13" spans="1:25" x14ac:dyDescent="0.25">
      <c r="A13" s="1" t="s">
        <v>9</v>
      </c>
      <c r="B13" s="2" t="s">
        <v>13</v>
      </c>
      <c r="C13" s="7">
        <v>4.43</v>
      </c>
      <c r="D13" s="8">
        <v>8.68</v>
      </c>
      <c r="E13" s="7">
        <v>3.65</v>
      </c>
      <c r="F13" s="8">
        <v>7.6</v>
      </c>
      <c r="G13" s="7">
        <v>2.88</v>
      </c>
      <c r="H13" s="8">
        <v>6.51</v>
      </c>
      <c r="J13" s="4">
        <f t="shared" si="11"/>
        <v>0</v>
      </c>
      <c r="K13" s="4">
        <f t="shared" si="12"/>
        <v>0</v>
      </c>
      <c r="L13" s="4">
        <f t="shared" si="4"/>
        <v>0</v>
      </c>
      <c r="M13" s="17">
        <f t="shared" si="13"/>
        <v>0</v>
      </c>
      <c r="N13" s="18">
        <f t="shared" si="13"/>
        <v>0</v>
      </c>
      <c r="O13" s="17">
        <f t="shared" si="13"/>
        <v>0</v>
      </c>
      <c r="P13" s="18">
        <f t="shared" si="13"/>
        <v>0</v>
      </c>
      <c r="Q13" s="17">
        <f t="shared" si="13"/>
        <v>0</v>
      </c>
      <c r="R13" s="18">
        <f t="shared" si="13"/>
        <v>0</v>
      </c>
      <c r="T13" s="49">
        <f>($T$8*$W13/100)*$Y$13</f>
        <v>3.7440000000000002</v>
      </c>
      <c r="U13" s="49">
        <f>($U$8*$W13/100)*$Y$13</f>
        <v>6.8639999999999999</v>
      </c>
      <c r="V13" s="48" t="s">
        <v>133</v>
      </c>
      <c r="W13" s="79">
        <f>IF($W$1="zonaA",X13,130)</f>
        <v>120</v>
      </c>
      <c r="X13" s="4">
        <f>IF(AND($W$1="zonaA",$K$1="A"),115,120)</f>
        <v>120</v>
      </c>
      <c r="Y13" s="4">
        <f>IF(OR(J1="Trento",J1="Rovereto"),1,0)</f>
        <v>1</v>
      </c>
    </row>
    <row r="14" spans="1:25" x14ac:dyDescent="0.25">
      <c r="A14" s="1" t="s">
        <v>9</v>
      </c>
      <c r="B14" s="2" t="s">
        <v>14</v>
      </c>
      <c r="C14" s="7">
        <v>4.43</v>
      </c>
      <c r="D14" s="8">
        <v>6.2</v>
      </c>
      <c r="E14" s="7">
        <v>3.65</v>
      </c>
      <c r="F14" s="8">
        <v>5.43</v>
      </c>
      <c r="G14" s="7">
        <v>2.88</v>
      </c>
      <c r="H14" s="8">
        <v>4.6500000000000004</v>
      </c>
      <c r="J14" s="4">
        <f t="shared" si="11"/>
        <v>0</v>
      </c>
      <c r="K14" s="4">
        <f t="shared" si="12"/>
        <v>0</v>
      </c>
      <c r="L14" s="4">
        <f t="shared" si="4"/>
        <v>0</v>
      </c>
      <c r="M14" s="17">
        <f t="shared" si="13"/>
        <v>0</v>
      </c>
      <c r="N14" s="18">
        <f t="shared" si="13"/>
        <v>0</v>
      </c>
      <c r="O14" s="17">
        <f t="shared" si="13"/>
        <v>0</v>
      </c>
      <c r="P14" s="18">
        <f t="shared" si="13"/>
        <v>0</v>
      </c>
      <c r="Q14" s="17">
        <f t="shared" si="13"/>
        <v>0</v>
      </c>
      <c r="R14" s="18">
        <f t="shared" si="13"/>
        <v>0</v>
      </c>
    </row>
    <row r="15" spans="1:25" x14ac:dyDescent="0.25">
      <c r="A15" s="1" t="s">
        <v>10</v>
      </c>
      <c r="B15" s="2" t="s">
        <v>12</v>
      </c>
      <c r="C15" s="7">
        <v>6.8</v>
      </c>
      <c r="D15" s="8">
        <v>9</v>
      </c>
      <c r="E15" s="7">
        <v>6.4</v>
      </c>
      <c r="F15" s="8">
        <v>8</v>
      </c>
      <c r="G15" s="7">
        <v>5.6</v>
      </c>
      <c r="H15" s="8">
        <v>7</v>
      </c>
      <c r="J15" s="4">
        <f t="shared" si="11"/>
        <v>0</v>
      </c>
      <c r="K15" s="4">
        <f t="shared" si="12"/>
        <v>0</v>
      </c>
      <c r="L15" s="4">
        <f t="shared" si="4"/>
        <v>0</v>
      </c>
      <c r="M15" s="17">
        <f t="shared" si="13"/>
        <v>0</v>
      </c>
      <c r="N15" s="18">
        <f t="shared" si="13"/>
        <v>0</v>
      </c>
      <c r="O15" s="17">
        <f t="shared" si="13"/>
        <v>0</v>
      </c>
      <c r="P15" s="18">
        <f t="shared" si="13"/>
        <v>0</v>
      </c>
      <c r="Q15" s="17">
        <f t="shared" si="13"/>
        <v>0</v>
      </c>
      <c r="R15" s="18">
        <f t="shared" si="13"/>
        <v>0</v>
      </c>
    </row>
    <row r="16" spans="1:25" x14ac:dyDescent="0.25">
      <c r="A16" s="1" t="s">
        <v>10</v>
      </c>
      <c r="B16" s="2" t="s">
        <v>13</v>
      </c>
      <c r="C16" s="7">
        <v>5.2</v>
      </c>
      <c r="D16" s="8">
        <v>7</v>
      </c>
      <c r="E16" s="7">
        <v>4.4000000000000004</v>
      </c>
      <c r="F16" s="8">
        <v>6.5</v>
      </c>
      <c r="G16" s="7">
        <v>3.6</v>
      </c>
      <c r="H16" s="8">
        <v>6</v>
      </c>
      <c r="J16" s="4">
        <f t="shared" si="11"/>
        <v>0</v>
      </c>
      <c r="K16" s="4">
        <f t="shared" si="12"/>
        <v>0</v>
      </c>
      <c r="L16" s="4">
        <f t="shared" si="4"/>
        <v>0</v>
      </c>
      <c r="M16" s="17">
        <f t="shared" si="13"/>
        <v>0</v>
      </c>
      <c r="N16" s="18">
        <f t="shared" si="13"/>
        <v>0</v>
      </c>
      <c r="O16" s="17">
        <f t="shared" si="13"/>
        <v>0</v>
      </c>
      <c r="P16" s="18">
        <f t="shared" si="13"/>
        <v>0</v>
      </c>
      <c r="Q16" s="17">
        <f t="shared" si="13"/>
        <v>0</v>
      </c>
      <c r="R16" s="18">
        <f t="shared" si="13"/>
        <v>0</v>
      </c>
    </row>
    <row r="17" spans="1:21" x14ac:dyDescent="0.25">
      <c r="A17" s="1" t="s">
        <v>11</v>
      </c>
      <c r="B17" s="2" t="s">
        <v>12</v>
      </c>
      <c r="C17" s="7">
        <v>6.35</v>
      </c>
      <c r="D17" s="8">
        <v>10.92</v>
      </c>
      <c r="E17" s="7">
        <v>4.84</v>
      </c>
      <c r="F17" s="8">
        <v>10.29</v>
      </c>
      <c r="G17" s="7">
        <v>4</v>
      </c>
      <c r="H17" s="8">
        <v>8.18</v>
      </c>
      <c r="J17" s="4">
        <f t="shared" si="11"/>
        <v>0</v>
      </c>
      <c r="K17" s="4">
        <f t="shared" si="12"/>
        <v>0</v>
      </c>
      <c r="L17" s="4">
        <f t="shared" si="4"/>
        <v>0</v>
      </c>
      <c r="M17" s="17">
        <f t="shared" si="13"/>
        <v>0</v>
      </c>
      <c r="N17" s="18">
        <f t="shared" si="13"/>
        <v>0</v>
      </c>
      <c r="O17" s="17">
        <f t="shared" si="13"/>
        <v>0</v>
      </c>
      <c r="P17" s="18">
        <f t="shared" si="13"/>
        <v>0</v>
      </c>
      <c r="Q17" s="17">
        <f t="shared" si="13"/>
        <v>0</v>
      </c>
      <c r="R17" s="18">
        <f t="shared" si="13"/>
        <v>0</v>
      </c>
    </row>
    <row r="18" spans="1:21" x14ac:dyDescent="0.25">
      <c r="A18" s="1" t="s">
        <v>11</v>
      </c>
      <c r="B18" s="2" t="s">
        <v>13</v>
      </c>
      <c r="C18" s="7">
        <v>4.43</v>
      </c>
      <c r="D18" s="8">
        <v>8.68</v>
      </c>
      <c r="E18" s="7">
        <v>3.65</v>
      </c>
      <c r="F18" s="8">
        <v>7.6</v>
      </c>
      <c r="G18" s="7">
        <v>2.88</v>
      </c>
      <c r="H18" s="8">
        <v>6.51</v>
      </c>
      <c r="J18" s="4">
        <f t="shared" si="11"/>
        <v>0</v>
      </c>
      <c r="K18" s="4">
        <f t="shared" si="12"/>
        <v>0</v>
      </c>
      <c r="L18" s="4">
        <f t="shared" si="4"/>
        <v>0</v>
      </c>
      <c r="M18" s="17">
        <f t="shared" si="13"/>
        <v>0</v>
      </c>
      <c r="N18" s="18">
        <f t="shared" si="13"/>
        <v>0</v>
      </c>
      <c r="O18" s="17">
        <f t="shared" si="13"/>
        <v>0</v>
      </c>
      <c r="P18" s="18">
        <f t="shared" si="13"/>
        <v>0</v>
      </c>
      <c r="Q18" s="17">
        <f t="shared" si="13"/>
        <v>0</v>
      </c>
      <c r="R18" s="18">
        <f t="shared" si="13"/>
        <v>0</v>
      </c>
      <c r="T18" t="s">
        <v>7</v>
      </c>
      <c r="U18" t="s">
        <v>202</v>
      </c>
    </row>
    <row r="19" spans="1:21" x14ac:dyDescent="0.25">
      <c r="A19" s="1" t="s">
        <v>11</v>
      </c>
      <c r="B19" s="2" t="s">
        <v>14</v>
      </c>
      <c r="C19" s="7">
        <v>4.43</v>
      </c>
      <c r="D19" s="8">
        <v>6.2</v>
      </c>
      <c r="E19" s="7">
        <v>3.65</v>
      </c>
      <c r="F19" s="8">
        <v>5.43</v>
      </c>
      <c r="G19" s="7">
        <v>2.88</v>
      </c>
      <c r="H19" s="8">
        <v>4.6500000000000004</v>
      </c>
      <c r="J19" s="4">
        <f t="shared" ref="J19:J28" si="14">IF($J$1=A19,1,0)</f>
        <v>0</v>
      </c>
      <c r="K19" s="4">
        <f t="shared" ref="K19:K28" si="15">IF($K$1=B19,1,0)</f>
        <v>0</v>
      </c>
      <c r="L19" s="4">
        <f t="shared" ref="L19:L28" si="16">J19*K19</f>
        <v>0</v>
      </c>
      <c r="M19" s="17">
        <f t="shared" ref="M19:M28" si="17">(C19*$L19)*M$2</f>
        <v>0</v>
      </c>
      <c r="N19" s="18">
        <f t="shared" ref="N19:N28" si="18">(D19*$L19)*N$2</f>
        <v>0</v>
      </c>
      <c r="O19" s="17">
        <f t="shared" ref="O19:O28" si="19">(E19*$L19)*O$2</f>
        <v>0</v>
      </c>
      <c r="P19" s="18">
        <f t="shared" ref="P19:P28" si="20">(F19*$L19)*P$2</f>
        <v>0</v>
      </c>
      <c r="Q19" s="17">
        <f t="shared" ref="Q19:Q28" si="21">(G19*$L19)*Q$2</f>
        <v>0</v>
      </c>
      <c r="R19" s="18">
        <f t="shared" ref="R19:R28" si="22">(H19*$L19)*R$2</f>
        <v>0</v>
      </c>
      <c r="T19" t="s">
        <v>8</v>
      </c>
      <c r="U19" t="s">
        <v>202</v>
      </c>
    </row>
    <row r="20" spans="1:21" x14ac:dyDescent="0.25">
      <c r="C20" s="5"/>
      <c r="D20" s="6"/>
      <c r="E20" s="5"/>
      <c r="F20" s="6"/>
      <c r="G20" s="5"/>
      <c r="H20" s="6"/>
      <c r="J20" s="4">
        <f t="shared" si="14"/>
        <v>0</v>
      </c>
      <c r="K20" s="4">
        <f t="shared" si="15"/>
        <v>0</v>
      </c>
      <c r="L20" s="4">
        <f t="shared" si="16"/>
        <v>0</v>
      </c>
      <c r="M20" s="17">
        <f t="shared" si="17"/>
        <v>0</v>
      </c>
      <c r="N20" s="18">
        <f t="shared" si="18"/>
        <v>0</v>
      </c>
      <c r="O20" s="17">
        <f t="shared" si="19"/>
        <v>0</v>
      </c>
      <c r="P20" s="18">
        <f t="shared" si="20"/>
        <v>0</v>
      </c>
      <c r="Q20" s="17">
        <f t="shared" si="21"/>
        <v>0</v>
      </c>
      <c r="R20" s="18">
        <f t="shared" si="22"/>
        <v>0</v>
      </c>
    </row>
    <row r="21" spans="1:21" x14ac:dyDescent="0.25">
      <c r="C21" s="5"/>
      <c r="D21" s="6"/>
      <c r="E21" s="5"/>
      <c r="F21" s="6"/>
      <c r="G21" s="5"/>
      <c r="H21" s="6"/>
      <c r="J21" s="4">
        <f t="shared" ref="J21:J27" si="23">IF($J$1=A21,1,0)</f>
        <v>0</v>
      </c>
      <c r="K21" s="4">
        <f t="shared" ref="K21:K27" si="24">IF($K$1=B21,1,0)</f>
        <v>0</v>
      </c>
      <c r="L21" s="4">
        <f t="shared" si="16"/>
        <v>0</v>
      </c>
      <c r="M21" s="17">
        <f t="shared" ref="M21:R27" si="25">(C21*$L21)*M$2</f>
        <v>0</v>
      </c>
      <c r="N21" s="18">
        <f t="shared" si="25"/>
        <v>0</v>
      </c>
      <c r="O21" s="17">
        <f t="shared" si="25"/>
        <v>0</v>
      </c>
      <c r="P21" s="18">
        <f t="shared" si="25"/>
        <v>0</v>
      </c>
      <c r="Q21" s="17">
        <f t="shared" si="25"/>
        <v>0</v>
      </c>
      <c r="R21" s="18">
        <f t="shared" si="25"/>
        <v>0</v>
      </c>
    </row>
    <row r="22" spans="1:21" x14ac:dyDescent="0.25">
      <c r="C22" s="5"/>
      <c r="D22" s="6"/>
      <c r="E22" s="5"/>
      <c r="F22" s="6"/>
      <c r="G22" s="5"/>
      <c r="H22" s="6"/>
      <c r="J22" s="4">
        <f t="shared" si="23"/>
        <v>0</v>
      </c>
      <c r="K22" s="4">
        <f t="shared" si="24"/>
        <v>0</v>
      </c>
      <c r="L22" s="4">
        <f t="shared" si="16"/>
        <v>0</v>
      </c>
      <c r="M22" s="17">
        <f t="shared" si="25"/>
        <v>0</v>
      </c>
      <c r="N22" s="18">
        <f t="shared" si="25"/>
        <v>0</v>
      </c>
      <c r="O22" s="17">
        <f t="shared" si="25"/>
        <v>0</v>
      </c>
      <c r="P22" s="18">
        <f t="shared" si="25"/>
        <v>0</v>
      </c>
      <c r="Q22" s="17">
        <f t="shared" si="25"/>
        <v>0</v>
      </c>
      <c r="R22" s="18">
        <f t="shared" si="25"/>
        <v>0</v>
      </c>
    </row>
    <row r="23" spans="1:21" x14ac:dyDescent="0.25">
      <c r="C23" s="5"/>
      <c r="D23" s="6"/>
      <c r="E23" s="5"/>
      <c r="F23" s="6"/>
      <c r="G23" s="5"/>
      <c r="H23" s="6"/>
      <c r="J23" s="4">
        <f t="shared" si="23"/>
        <v>0</v>
      </c>
      <c r="K23" s="4">
        <f t="shared" si="24"/>
        <v>0</v>
      </c>
      <c r="L23" s="4">
        <f t="shared" si="16"/>
        <v>0</v>
      </c>
      <c r="M23" s="17">
        <f t="shared" si="25"/>
        <v>0</v>
      </c>
      <c r="N23" s="18">
        <f t="shared" si="25"/>
        <v>0</v>
      </c>
      <c r="O23" s="17">
        <f t="shared" si="25"/>
        <v>0</v>
      </c>
      <c r="P23" s="18">
        <f t="shared" si="25"/>
        <v>0</v>
      </c>
      <c r="Q23" s="17">
        <f t="shared" si="25"/>
        <v>0</v>
      </c>
      <c r="R23" s="18">
        <f t="shared" si="25"/>
        <v>0</v>
      </c>
      <c r="T23" t="s">
        <v>203</v>
      </c>
    </row>
    <row r="24" spans="1:21" x14ac:dyDescent="0.25">
      <c r="C24" s="5"/>
      <c r="D24" s="6"/>
      <c r="E24" s="5"/>
      <c r="F24" s="6"/>
      <c r="G24" s="5"/>
      <c r="H24" s="6"/>
      <c r="J24" s="4">
        <f t="shared" si="23"/>
        <v>0</v>
      </c>
      <c r="K24" s="4">
        <f t="shared" si="24"/>
        <v>0</v>
      </c>
      <c r="L24" s="4">
        <f t="shared" si="16"/>
        <v>0</v>
      </c>
      <c r="M24" s="17">
        <f t="shared" si="25"/>
        <v>0</v>
      </c>
      <c r="N24" s="18">
        <f t="shared" si="25"/>
        <v>0</v>
      </c>
      <c r="O24" s="17">
        <f t="shared" si="25"/>
        <v>0</v>
      </c>
      <c r="P24" s="18">
        <f t="shared" si="25"/>
        <v>0</v>
      </c>
      <c r="Q24" s="17">
        <f t="shared" si="25"/>
        <v>0</v>
      </c>
      <c r="R24" s="18">
        <f t="shared" si="25"/>
        <v>0</v>
      </c>
      <c r="T24" t="s">
        <v>204</v>
      </c>
    </row>
    <row r="25" spans="1:21" x14ac:dyDescent="0.25">
      <c r="C25" s="5"/>
      <c r="D25" s="6"/>
      <c r="E25" s="5"/>
      <c r="F25" s="6"/>
      <c r="G25" s="5"/>
      <c r="H25" s="6"/>
      <c r="J25" s="4">
        <f t="shared" si="23"/>
        <v>0</v>
      </c>
      <c r="K25" s="4">
        <f t="shared" si="24"/>
        <v>0</v>
      </c>
      <c r="L25" s="4">
        <f t="shared" si="16"/>
        <v>0</v>
      </c>
      <c r="M25" s="17">
        <f t="shared" si="25"/>
        <v>0</v>
      </c>
      <c r="N25" s="18">
        <f t="shared" si="25"/>
        <v>0</v>
      </c>
      <c r="O25" s="17">
        <f t="shared" si="25"/>
        <v>0</v>
      </c>
      <c r="P25" s="18">
        <f t="shared" si="25"/>
        <v>0</v>
      </c>
      <c r="Q25" s="17">
        <f t="shared" si="25"/>
        <v>0</v>
      </c>
      <c r="R25" s="18">
        <f t="shared" si="25"/>
        <v>0</v>
      </c>
      <c r="T25" t="s">
        <v>205</v>
      </c>
    </row>
    <row r="26" spans="1:21" x14ac:dyDescent="0.25">
      <c r="C26" s="5"/>
      <c r="D26" s="6"/>
      <c r="E26" s="5"/>
      <c r="F26" s="6"/>
      <c r="G26" s="5"/>
      <c r="H26" s="6"/>
      <c r="J26" s="4">
        <f t="shared" si="23"/>
        <v>0</v>
      </c>
      <c r="K26" s="4">
        <f t="shared" si="24"/>
        <v>0</v>
      </c>
      <c r="L26" s="4">
        <f t="shared" si="16"/>
        <v>0</v>
      </c>
      <c r="M26" s="17">
        <f t="shared" si="25"/>
        <v>0</v>
      </c>
      <c r="N26" s="18">
        <f t="shared" si="25"/>
        <v>0</v>
      </c>
      <c r="O26" s="17">
        <f t="shared" si="25"/>
        <v>0</v>
      </c>
      <c r="P26" s="18">
        <f t="shared" si="25"/>
        <v>0</v>
      </c>
      <c r="Q26" s="17">
        <f t="shared" si="25"/>
        <v>0</v>
      </c>
      <c r="R26" s="18">
        <f t="shared" si="25"/>
        <v>0</v>
      </c>
      <c r="T26" s="81" t="s">
        <v>206</v>
      </c>
    </row>
    <row r="27" spans="1:21" x14ac:dyDescent="0.25">
      <c r="C27" s="5"/>
      <c r="D27" s="6"/>
      <c r="E27" s="5"/>
      <c r="F27" s="6"/>
      <c r="G27" s="5"/>
      <c r="H27" s="6"/>
      <c r="J27" s="4">
        <f t="shared" si="23"/>
        <v>0</v>
      </c>
      <c r="K27" s="4">
        <f t="shared" si="24"/>
        <v>0</v>
      </c>
      <c r="L27" s="4">
        <f t="shared" si="16"/>
        <v>0</v>
      </c>
      <c r="M27" s="17">
        <f t="shared" si="25"/>
        <v>0</v>
      </c>
      <c r="N27" s="18">
        <f t="shared" si="25"/>
        <v>0</v>
      </c>
      <c r="O27" s="17">
        <f t="shared" si="25"/>
        <v>0</v>
      </c>
      <c r="P27" s="18">
        <f t="shared" si="25"/>
        <v>0</v>
      </c>
      <c r="Q27" s="17">
        <f t="shared" si="25"/>
        <v>0</v>
      </c>
      <c r="R27" s="18">
        <f t="shared" si="25"/>
        <v>0</v>
      </c>
      <c r="T27" t="s">
        <v>207</v>
      </c>
      <c r="U27" s="80" t="s">
        <v>208</v>
      </c>
    </row>
    <row r="28" spans="1:21" x14ac:dyDescent="0.25">
      <c r="C28" s="9"/>
      <c r="D28" s="10"/>
      <c r="E28" s="9"/>
      <c r="F28" s="10"/>
      <c r="G28" s="9"/>
      <c r="H28" s="10"/>
      <c r="J28" s="4">
        <f t="shared" si="14"/>
        <v>0</v>
      </c>
      <c r="K28" s="4">
        <f t="shared" si="15"/>
        <v>0</v>
      </c>
      <c r="L28" s="4">
        <f t="shared" si="16"/>
        <v>0</v>
      </c>
      <c r="M28" s="19">
        <f t="shared" si="17"/>
        <v>0</v>
      </c>
      <c r="N28" s="20">
        <f t="shared" si="18"/>
        <v>0</v>
      </c>
      <c r="O28" s="19">
        <f t="shared" si="19"/>
        <v>0</v>
      </c>
      <c r="P28" s="20">
        <f t="shared" si="20"/>
        <v>0</v>
      </c>
      <c r="Q28" s="19">
        <f t="shared" si="21"/>
        <v>0</v>
      </c>
      <c r="R28" s="20">
        <f t="shared" si="22"/>
        <v>0</v>
      </c>
      <c r="T28" t="s">
        <v>209</v>
      </c>
    </row>
  </sheetData>
  <sheetProtection algorithmName="SHA-512" hashValue="Qoo4RRxrGu0G0vFmf7lzHa2t6BuWc+QQ8oC9SoD8lRLB/FC1GPWf2S8yP1ItJFgF7yFAn773t2i388UnUk1dsA==" saltValue="48xf635a4pry6kTZPrlG/A==" spinCount="100000" sheet="1" objects="1" scenarios="1" selectLockedCells="1" selectUnlockedCells="1"/>
  <mergeCells count="5">
    <mergeCell ref="M1:R1"/>
    <mergeCell ref="C1:D1"/>
    <mergeCell ref="E1:F1"/>
    <mergeCell ref="G1:H1"/>
    <mergeCell ref="A1:B2"/>
  </mergeCells>
  <conditionalFormatting sqref="M3:R28">
    <cfRule type="expression" dxfId="0" priority="1">
      <formula>"&gt;0,1"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Immissione Dati</vt:lpstr>
      <vt:lpstr>Calcolatore Metri</vt:lpstr>
      <vt:lpstr>Calcolatore Coefficienti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utente4</dc:creator>
  <cp:lastModifiedBy>utente4</cp:lastModifiedBy>
  <cp:lastPrinted>2025-02-05T07:33:19Z</cp:lastPrinted>
  <dcterms:created xsi:type="dcterms:W3CDTF">2022-10-05T14:21:15Z</dcterms:created>
  <dcterms:modified xsi:type="dcterms:W3CDTF">2025-02-05T08:24:52Z</dcterms:modified>
</cp:coreProperties>
</file>